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500" windowWidth="24620" windowHeight="227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<sst xmlns="http://schemas.openxmlformats.org/spreadsheetml/2006/main" count="165" uniqueCount="134">
  <si>
    <t>Infinitesimal strain from GPS velocity data from sites in a triangular array</t>
  </si>
  <si>
    <t>Send corrections, suggestions, comments to Vince_Cronin@baylor.edu</t>
  </si>
  <si>
    <t>Instructions</t>
  </si>
  <si>
    <t>(1) Input the name. location, and velocity data from three GPS sites in the yellow cells.</t>
  </si>
  <si>
    <t>(2) When the required data have been input, the answers will appear in the Output Data section (blue cells).</t>
  </si>
  <si>
    <t>Initial Input Data</t>
  </si>
  <si>
    <t>Site</t>
  </si>
  <si>
    <t>E velocity</t>
  </si>
  <si>
    <t>E vel uncert</t>
  </si>
  <si>
    <t>N velocity</t>
  </si>
  <si>
    <t>N vel uncert</t>
  </si>
  <si>
    <t>Name</t>
  </si>
  <si>
    <t>Translation Vector</t>
  </si>
  <si>
    <t>Azimuth (degrees)</t>
  </si>
  <si>
    <t>Speed (m/yr)</t>
  </si>
  <si>
    <t>Lagrangian strain-rate tensor</t>
  </si>
  <si>
    <t>Direction of rotation</t>
  </si>
  <si>
    <t>Max shear strain (nano-strain)</t>
  </si>
  <si>
    <t>Azimuth of S2H (degrees)</t>
  </si>
  <si>
    <t>Azimuth of S1H (degrees)</t>
  </si>
  <si>
    <t>Area strain (nano-strain)</t>
  </si>
  <si>
    <t>Computation</t>
  </si>
  <si>
    <t>center of triangle</t>
  </si>
  <si>
    <t>revised locations</t>
  </si>
  <si>
    <t>Easting</t>
  </si>
  <si>
    <t>Northing</t>
  </si>
  <si>
    <t>matrix m1</t>
  </si>
  <si>
    <t>matrix m2</t>
  </si>
  <si>
    <t>matrix m3</t>
  </si>
  <si>
    <t>matrix m4</t>
  </si>
  <si>
    <t>matrix m5</t>
  </si>
  <si>
    <t>translation vector</t>
  </si>
  <si>
    <t>x coordinate</t>
  </si>
  <si>
    <t>y coordinate</t>
  </si>
  <si>
    <t>total vector</t>
  </si>
  <si>
    <t>north unit vector</t>
  </si>
  <si>
    <t>angle between north vector and unit trans vector</t>
  </si>
  <si>
    <t>azimuth of trans vect (degrees clockwise from north)</t>
  </si>
  <si>
    <t>matrix m6</t>
  </si>
  <si>
    <t>eigenvalue A</t>
  </si>
  <si>
    <t>eigenvalue B</t>
  </si>
  <si>
    <t>Eigen system</t>
  </si>
  <si>
    <t>e1</t>
  </si>
  <si>
    <t>e2</t>
  </si>
  <si>
    <t>unit eigenvector assoc with e1</t>
  </si>
  <si>
    <t>unit eigenvector assoc with e2</t>
  </si>
  <si>
    <t>unit translation vector</t>
  </si>
  <si>
    <t>magnitude of translation vector, or speed (m/yr)</t>
  </si>
  <si>
    <t>degrees</t>
  </si>
  <si>
    <t>angle between north vector and e1 unit eigenvector</t>
  </si>
  <si>
    <t>azimuth of e1 unit eigenvector</t>
  </si>
  <si>
    <t>alternate  azimuth of e1 unit eigenvector</t>
  </si>
  <si>
    <t>angle between north vector and e2 unit eigenvector</t>
  </si>
  <si>
    <t>azimuth of e2 unit eigenvector</t>
  </si>
  <si>
    <t>alternate  azimuth of e2 unit eigenvector</t>
  </si>
  <si>
    <t>maximum infinitesimal shear strain</t>
  </si>
  <si>
    <t>area strain</t>
  </si>
  <si>
    <t>first invariant of the infinitesimal strain rate tensor</t>
  </si>
  <si>
    <t>second invariant of the infinitesimal strain rate tensor</t>
  </si>
  <si>
    <t>third invariant of the infinitesimal strain rate tensor</t>
  </si>
  <si>
    <t>matrix m7</t>
  </si>
  <si>
    <t>matrix m8</t>
  </si>
  <si>
    <t>matrix 9.1 = m7 . m2</t>
  </si>
  <si>
    <t>matrix 9.2 = m8 . matrix9.1</t>
  </si>
  <si>
    <t>matrix m9</t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</si>
  <si>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xx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</si>
  <si>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xy ± uncert (nano-strain)</t>
    </r>
  </si>
  <si>
    <r>
      <rPr>
        <sz val="12"/>
        <color indexed="8"/>
        <rFont val="Symbol"/>
        <family val="0"/>
      </rPr>
      <t>e</t>
    </r>
    <r>
      <rPr>
        <sz val="12"/>
        <color theme="1"/>
        <rFont val="Calibri"/>
        <family val="2"/>
      </rPr>
      <t>yy ± uncert (nano-strain)</t>
    </r>
  </si>
  <si>
    <t>Longitude</t>
  </si>
  <si>
    <t>west is negative</t>
  </si>
  <si>
    <t>Latitude</t>
  </si>
  <si>
    <t>south is negative</t>
  </si>
  <si>
    <t>Primary Output Data</t>
  </si>
  <si>
    <t>Other Output</t>
  </si>
  <si>
    <t>E component ± uncert (m/yr)</t>
  </si>
  <si>
    <t>N component ± uncert (m/yr)</t>
  </si>
  <si>
    <t>Rotation ± uncertainty (degrees/yr)</t>
  </si>
  <si>
    <t>Rotation ± uncertainty (nano-rad/yr)</t>
  </si>
  <si>
    <t>±</t>
  </si>
  <si>
    <t>or</t>
  </si>
  <si>
    <t>latitude in radians</t>
  </si>
  <si>
    <t>longitude in radians</t>
  </si>
  <si>
    <t>UTM zone</t>
  </si>
  <si>
    <t>central meridian of zone (long0)</t>
  </si>
  <si>
    <t>central meridian of zone to the west (the "pseudo" zone)</t>
  </si>
  <si>
    <t>UTM "pseudo" zone</t>
  </si>
  <si>
    <t>a (WGS84 datum)</t>
  </si>
  <si>
    <t>b (WGS84 datum)</t>
  </si>
  <si>
    <r>
      <t>k</t>
    </r>
    <r>
      <rPr>
        <vertAlign val="subscript"/>
        <sz val="12"/>
        <color indexed="8"/>
        <rFont val="Calibri"/>
        <family val="2"/>
      </rPr>
      <t>0</t>
    </r>
  </si>
  <si>
    <t>e</t>
  </si>
  <si>
    <r>
      <t>e'</t>
    </r>
    <r>
      <rPr>
        <vertAlign val="superscript"/>
        <sz val="12"/>
        <color indexed="8"/>
        <rFont val="Calibri"/>
        <family val="2"/>
      </rPr>
      <t>2</t>
    </r>
  </si>
  <si>
    <t>n</t>
  </si>
  <si>
    <t>rho</t>
  </si>
  <si>
    <t>nu</t>
  </si>
  <si>
    <t>p</t>
  </si>
  <si>
    <t>m1</t>
  </si>
  <si>
    <t>m2</t>
  </si>
  <si>
    <t>M</t>
  </si>
  <si>
    <t>m3</t>
  </si>
  <si>
    <t>m4</t>
  </si>
  <si>
    <t>K1</t>
  </si>
  <si>
    <t>K2</t>
  </si>
  <si>
    <t>K3</t>
  </si>
  <si>
    <t>K4</t>
  </si>
  <si>
    <t>K5</t>
  </si>
  <si>
    <t>northing</t>
  </si>
  <si>
    <t>easting</t>
  </si>
  <si>
    <t>true northing</t>
  </si>
  <si>
    <t>true easting</t>
  </si>
  <si>
    <t>pseudo northing (rel to zone to the west)</t>
  </si>
  <si>
    <t>pseudo p</t>
  </si>
  <si>
    <t>Site name</t>
  </si>
  <si>
    <t>Westernmost zone #</t>
  </si>
  <si>
    <t>UTM coordinates relative to the westernmost zone, to be used in strain analysis</t>
  </si>
  <si>
    <t>pseudo easting (rel to zone to the east)</t>
  </si>
  <si>
    <t>mean easting</t>
  </si>
  <si>
    <t>mean northing</t>
  </si>
  <si>
    <t>Max horizontal extension (e1H)   (nano-strain)</t>
  </si>
  <si>
    <t>Min horizontal extension (e2H)    (nano-strain)</t>
  </si>
  <si>
    <t>First invariant of strain-rate tensor                      (nano-strain)</t>
  </si>
  <si>
    <t>Second invariant of strain-rate tensor                 (nano-strain)</t>
  </si>
  <si>
    <t>Third invariant of strain-rate tensor                     (nano-strain)</t>
  </si>
  <si>
    <t>(mm/yr)</t>
  </si>
  <si>
    <t>velocities converted from mm/yr to m/yr</t>
  </si>
  <si>
    <t>elipse for visualization</t>
  </si>
  <si>
    <t>x</t>
  </si>
  <si>
    <t>y</t>
  </si>
  <si>
    <t>x0</t>
  </si>
  <si>
    <t>y0</t>
  </si>
  <si>
    <t>xp</t>
  </si>
  <si>
    <t>yp</t>
  </si>
  <si>
    <t>TRUC</t>
  </si>
  <si>
    <t>P150</t>
  </si>
  <si>
    <t>BHIL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</si>
</sst>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[$-409]mmmm\ d\,\ yyyy;@"/>
    <numFmt numFmtId="167" formatCode="0.00000000"/>
    <numFmt numFmtId="168" formatCode="0.000000000"/>
    <numFmt numFmtId="169" formatCode="0.000"/>
    <numFmt numFmtId="170" formatCode="0.00000"/>
  </numFmts>
  <fonts count="46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Symbol"/>
      <family val="0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9.2"/>
      <color indexed="8"/>
      <name val="Calibri"/>
      <family val="2"/>
    </font>
    <font>
      <sz val="12"/>
      <color indexed="63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12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E6FF"/>
        <bgColor indexed="64"/>
      </patternFill>
    </fill>
    <fill>
      <patternFill patternType="solid">
        <fgColor rgb="FFFCFED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40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center"/>
    </xf>
    <xf numFmtId="0" fontId="4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 horizontal="right"/>
    </xf>
    <xf numFmtId="165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164" fontId="0" fillId="33" borderId="18" xfId="0" applyNumberFormat="1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167" fontId="0" fillId="33" borderId="18" xfId="0" applyNumberFormat="1" applyFill="1" applyBorder="1" applyAlignment="1">
      <alignment horizontal="center"/>
    </xf>
    <xf numFmtId="167" fontId="0" fillId="33" borderId="19" xfId="0" applyNumberFormat="1" applyFill="1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left"/>
    </xf>
    <xf numFmtId="165" fontId="0" fillId="33" borderId="21" xfId="0" applyNumberForma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40" fillId="33" borderId="23" xfId="0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24" xfId="0" applyNumberForma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/>
    </xf>
    <xf numFmtId="165" fontId="0" fillId="33" borderId="27" xfId="0" applyNumberFormat="1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24" xfId="0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165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16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Alignment="1">
      <alignment horizontal="left" wrapText="1"/>
    </xf>
    <xf numFmtId="0" fontId="40" fillId="0" borderId="0" xfId="0" applyFont="1" applyFill="1" applyBorder="1" applyAlignment="1">
      <alignment horizontal="right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33" borderId="18" xfId="0" applyFill="1" applyBorder="1" applyAlignment="1">
      <alignment horizontal="left" wrapText="1"/>
    </xf>
    <xf numFmtId="165" fontId="0" fillId="33" borderId="18" xfId="0" applyNumberFormat="1" applyFill="1" applyBorder="1" applyAlignment="1">
      <alignment horizontal="center" vertical="center"/>
    </xf>
    <xf numFmtId="0" fontId="0" fillId="33" borderId="18" xfId="0" applyNumberFormat="1" applyFill="1" applyBorder="1" applyAlignment="1">
      <alignment horizontal="center" vertical="center"/>
    </xf>
    <xf numFmtId="166" fontId="44" fillId="0" borderId="0" xfId="0" applyNumberFormat="1" applyFont="1" applyAlignment="1">
      <alignment horizontal="right"/>
    </xf>
    <xf numFmtId="0" fontId="40" fillId="0" borderId="0" xfId="0" applyFont="1" applyBorder="1" applyAlignment="1">
      <alignment horizontal="center"/>
    </xf>
    <xf numFmtId="170" fontId="0" fillId="0" borderId="0" xfId="0" applyNumberFormat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34" borderId="29" xfId="0" applyFill="1" applyBorder="1" applyAlignment="1" applyProtection="1">
      <alignment/>
      <protection locked="0"/>
    </xf>
    <xf numFmtId="169" fontId="0" fillId="34" borderId="29" xfId="0" applyNumberFormat="1" applyFill="1" applyBorder="1" applyAlignment="1" applyProtection="1">
      <alignment/>
      <protection locked="0"/>
    </xf>
    <xf numFmtId="2" fontId="0" fillId="34" borderId="29" xfId="0" applyNumberFormat="1" applyFill="1" applyBorder="1" applyAlignment="1" applyProtection="1">
      <alignment/>
      <protection locked="0"/>
    </xf>
    <xf numFmtId="169" fontId="45" fillId="34" borderId="2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Strain ellipse (exaggerated by 1e6)</a:t>
            </a:r>
          </a:p>
        </c:rich>
      </c:tx>
      <c:layout>
        <c:manualLayout>
          <c:xMode val="factor"/>
          <c:yMode val="factor"/>
          <c:x val="-0.10425"/>
          <c:y val="-0.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"/>
          <c:y val="0.0455"/>
          <c:w val="0.77525"/>
          <c:h val="0.95475"/>
        </c:manualLayout>
      </c:layout>
      <c:scatterChart>
        <c:scatterStyle val="smoothMarker"/>
        <c:varyColors val="0"/>
        <c:ser>
          <c:idx val="0"/>
          <c:order val="0"/>
          <c:tx>
            <c:v>initial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Sheet1!$C$214:$C$234</c:f>
              <c:numCache/>
            </c:numRef>
          </c:xVal>
          <c:yVal>
            <c:numRef>
              <c:f>Sheet1!$D$214:$D$234</c:f>
              <c:numCache/>
            </c:numRef>
          </c:yVal>
          <c:smooth val="1"/>
        </c:ser>
        <c:ser>
          <c:idx val="1"/>
          <c:order val="1"/>
          <c:tx>
            <c:v>final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Sheet1!$G$214:$G$234</c:f>
              <c:numCache/>
            </c:numRef>
          </c:xVal>
          <c:yVal>
            <c:numRef>
              <c:f>Sheet1!$H$214:$H$234</c:f>
              <c:numCache/>
            </c:numRef>
          </c:yVal>
          <c:smooth val="1"/>
        </c:ser>
        <c:axId val="57756929"/>
        <c:axId val="50050314"/>
      </c:scatterChart>
      <c:valAx>
        <c:axId val="57756929"/>
        <c:scaling>
          <c:orientation val="minMax"/>
          <c:max val="2"/>
          <c:min val="-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50314"/>
        <c:crosses val="autoZero"/>
        <c:crossBetween val="midCat"/>
        <c:dispUnits/>
      </c:valAx>
      <c:valAx>
        <c:axId val="50050314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56929"/>
        <c:crosses val="autoZero"/>
        <c:crossBetween val="midCat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47825"/>
          <c:w val="0.145"/>
          <c:h val="0.1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14</xdr:row>
      <xdr:rowOff>47625</xdr:rowOff>
    </xdr:from>
    <xdr:to>
      <xdr:col>9</xdr:col>
      <xdr:colOff>762000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7210425" y="3162300"/>
        <a:ext cx="45053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4"/>
  <sheetViews>
    <sheetView tabSelected="1" zoomScale="125" zoomScaleNormal="125" zoomScalePageLayoutView="125" workbookViewId="0" topLeftCell="A1">
      <selection activeCell="H37" sqref="H37"/>
    </sheetView>
  </sheetViews>
  <sheetFormatPr defaultColWidth="11.00390625" defaultRowHeight="15.75"/>
  <cols>
    <col min="2" max="2" width="38.375" style="0" customWidth="1"/>
    <col min="3" max="3" width="16.625" style="0" customWidth="1"/>
    <col min="4" max="4" width="14.625" style="0" customWidth="1"/>
    <col min="5" max="5" width="13.375" style="0" customWidth="1"/>
    <col min="6" max="6" width="12.50390625" style="0" customWidth="1"/>
    <col min="7" max="7" width="12.375" style="0" customWidth="1"/>
    <col min="8" max="8" width="13.875" style="0" customWidth="1"/>
  </cols>
  <sheetData>
    <row r="1" spans="1:8" s="5" customFormat="1" ht="21">
      <c r="A1" s="5" t="s">
        <v>0</v>
      </c>
      <c r="H1" s="58">
        <v>41200</v>
      </c>
    </row>
    <row r="2" ht="15.75">
      <c r="B2" t="s">
        <v>1</v>
      </c>
    </row>
    <row r="4" ht="18.75">
      <c r="A4" s="4" t="s">
        <v>2</v>
      </c>
    </row>
    <row r="5" ht="15.75">
      <c r="B5" t="s">
        <v>3</v>
      </c>
    </row>
    <row r="6" ht="15.75">
      <c r="B6" t="s">
        <v>4</v>
      </c>
    </row>
    <row r="8" ht="18.75">
      <c r="A8" s="4" t="s">
        <v>5</v>
      </c>
    </row>
    <row r="9" spans="2:8" ht="15.75">
      <c r="B9" s="3" t="s">
        <v>6</v>
      </c>
      <c r="C9" s="3" t="s">
        <v>68</v>
      </c>
      <c r="D9" s="3" t="s">
        <v>70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28.5" customHeight="1">
      <c r="B10" s="11" t="s">
        <v>11</v>
      </c>
      <c r="C10" s="10" t="s">
        <v>69</v>
      </c>
      <c r="D10" s="10" t="s">
        <v>71</v>
      </c>
      <c r="E10" s="11" t="s">
        <v>122</v>
      </c>
      <c r="F10" s="11" t="s">
        <v>122</v>
      </c>
      <c r="G10" s="11" t="s">
        <v>122</v>
      </c>
      <c r="H10" s="11" t="s">
        <v>122</v>
      </c>
    </row>
    <row r="11" spans="2:8" ht="15.75">
      <c r="B11" s="63" t="s">
        <v>131</v>
      </c>
      <c r="C11" s="64">
        <v>-120.228</v>
      </c>
      <c r="D11" s="64">
        <v>39.296</v>
      </c>
      <c r="E11" s="65">
        <v>-8.76</v>
      </c>
      <c r="F11" s="65">
        <v>0.44</v>
      </c>
      <c r="G11" s="65">
        <v>8.47</v>
      </c>
      <c r="H11" s="65">
        <v>0.33</v>
      </c>
    </row>
    <row r="12" spans="2:8" ht="15.75">
      <c r="B12" s="63" t="s">
        <v>132</v>
      </c>
      <c r="C12" s="64">
        <v>-120.034</v>
      </c>
      <c r="D12" s="64">
        <v>39.292</v>
      </c>
      <c r="E12" s="65">
        <v>-8.88</v>
      </c>
      <c r="F12" s="65">
        <v>0.23</v>
      </c>
      <c r="G12" s="65">
        <v>8.17</v>
      </c>
      <c r="H12" s="65">
        <v>0.21</v>
      </c>
    </row>
    <row r="13" spans="2:8" ht="15.75">
      <c r="B13" s="63" t="s">
        <v>133</v>
      </c>
      <c r="C13" s="66">
        <v>-120.118</v>
      </c>
      <c r="D13" s="66">
        <v>39.379</v>
      </c>
      <c r="E13" s="65">
        <v>-8.8</v>
      </c>
      <c r="F13" s="65">
        <v>0.16</v>
      </c>
      <c r="G13" s="65">
        <v>8</v>
      </c>
      <c r="H13" s="65">
        <v>0.16</v>
      </c>
    </row>
    <row r="14" ht="16.5" thickBot="1"/>
    <row r="15" spans="1:5" ht="19.5" thickTop="1">
      <c r="A15" s="12" t="s">
        <v>72</v>
      </c>
      <c r="B15" s="13"/>
      <c r="C15" s="13"/>
      <c r="D15" s="13"/>
      <c r="E15" s="14"/>
    </row>
    <row r="16" spans="1:5" ht="15.75">
      <c r="A16" s="15"/>
      <c r="B16" s="16" t="s">
        <v>12</v>
      </c>
      <c r="C16" s="17"/>
      <c r="D16" s="17"/>
      <c r="E16" s="18"/>
    </row>
    <row r="17" spans="1:5" ht="15.75">
      <c r="A17" s="15"/>
      <c r="B17" s="19" t="s">
        <v>74</v>
      </c>
      <c r="C17" s="20">
        <f>C130</f>
        <v>-0.008813333333333336</v>
      </c>
      <c r="D17" s="21" t="s">
        <v>78</v>
      </c>
      <c r="E17" s="22">
        <f>SQRT(C205)</f>
        <v>0.00017387735140993995</v>
      </c>
    </row>
    <row r="18" spans="1:5" ht="15.75">
      <c r="A18" s="15"/>
      <c r="B18" s="19" t="s">
        <v>75</v>
      </c>
      <c r="C18" s="20">
        <f>C131</f>
        <v>0.008213333333333347</v>
      </c>
      <c r="D18" s="21" t="s">
        <v>78</v>
      </c>
      <c r="E18" s="22">
        <f>SQRT(D206)</f>
        <v>0.00014087031072744068</v>
      </c>
    </row>
    <row r="19" spans="1:5" ht="15.75">
      <c r="A19" s="15"/>
      <c r="B19" s="19" t="s">
        <v>13</v>
      </c>
      <c r="C19" s="23">
        <f>C149</f>
        <v>312.9817982421682</v>
      </c>
      <c r="D19" s="21"/>
      <c r="E19" s="22"/>
    </row>
    <row r="20" spans="1:5" ht="15.75">
      <c r="A20" s="15"/>
      <c r="B20" s="19" t="s">
        <v>14</v>
      </c>
      <c r="C20" s="20">
        <f>C143</f>
        <v>0.012047144428821677</v>
      </c>
      <c r="D20" s="21"/>
      <c r="E20" s="22"/>
    </row>
    <row r="21" spans="1:5" ht="15.75">
      <c r="A21" s="15"/>
      <c r="B21" s="24" t="s">
        <v>76</v>
      </c>
      <c r="C21" s="25">
        <f>C132*(180/PI())</f>
        <v>-5.867096392738174E-07</v>
      </c>
      <c r="D21" s="21" t="s">
        <v>78</v>
      </c>
      <c r="E21" s="26">
        <f>SQRT(E207)*(180/PI())</f>
        <v>1.090029090628713E-06</v>
      </c>
    </row>
    <row r="22" spans="1:5" ht="15.75">
      <c r="A22" s="15"/>
      <c r="B22" s="19" t="s">
        <v>77</v>
      </c>
      <c r="C22" s="20">
        <f>C132*(10^9)</f>
        <v>-10.240014958516348</v>
      </c>
      <c r="D22" s="21" t="s">
        <v>78</v>
      </c>
      <c r="E22" s="27">
        <f>SQRT(E207)*(10^9)</f>
        <v>19.02459657399071</v>
      </c>
    </row>
    <row r="23" spans="1:5" ht="15.75">
      <c r="A23" s="15"/>
      <c r="B23" s="19" t="s">
        <v>16</v>
      </c>
      <c r="C23" s="21" t="str">
        <f>IF((C22&lt;0),"clockwise","anti-clockwise")</f>
        <v>clockwise</v>
      </c>
      <c r="D23" s="20"/>
      <c r="E23" s="27"/>
    </row>
    <row r="24" spans="1:5" ht="15.75">
      <c r="A24" s="15"/>
      <c r="B24" s="24" t="s">
        <v>117</v>
      </c>
      <c r="C24" s="20">
        <f>C157*(10^9)</f>
        <v>-5.105461962887202</v>
      </c>
      <c r="D24" s="21"/>
      <c r="E24" s="22"/>
    </row>
    <row r="25" spans="1:5" ht="15.75">
      <c r="A25" s="15"/>
      <c r="B25" s="19" t="s">
        <v>19</v>
      </c>
      <c r="C25" s="20">
        <f>C165</f>
        <v>105.44753946202462</v>
      </c>
      <c r="D25" s="21" t="s">
        <v>79</v>
      </c>
      <c r="E25" s="22">
        <f>C166</f>
        <v>285.4475394620246</v>
      </c>
    </row>
    <row r="26" spans="1:5" ht="15.75">
      <c r="A26" s="15"/>
      <c r="B26" s="24" t="s">
        <v>118</v>
      </c>
      <c r="C26" s="20">
        <f>C158*(10^9)</f>
        <v>-34.34009604336513</v>
      </c>
      <c r="D26" s="21"/>
      <c r="E26" s="22"/>
    </row>
    <row r="27" spans="1:5" ht="15.75">
      <c r="A27" s="15"/>
      <c r="B27" s="19" t="s">
        <v>18</v>
      </c>
      <c r="C27" s="20">
        <f>C168</f>
        <v>15.447539462024618</v>
      </c>
      <c r="D27" s="21" t="s">
        <v>79</v>
      </c>
      <c r="E27" s="22">
        <f>C169</f>
        <v>195.44753946202462</v>
      </c>
    </row>
    <row r="28" spans="1:5" ht="15.75">
      <c r="A28" s="15"/>
      <c r="B28" s="24" t="s">
        <v>17</v>
      </c>
      <c r="C28" s="20">
        <f>C171*(10^9)</f>
        <v>29.234634080477925</v>
      </c>
      <c r="D28" s="21"/>
      <c r="E28" s="22"/>
    </row>
    <row r="29" spans="1:5" ht="16.5" thickBot="1">
      <c r="A29" s="28"/>
      <c r="B29" s="29" t="s">
        <v>20</v>
      </c>
      <c r="C29" s="30">
        <f>C172*(10^9)</f>
        <v>-39.44555800625233</v>
      </c>
      <c r="D29" s="31"/>
      <c r="E29" s="32"/>
    </row>
    <row r="30" ht="16.5" thickTop="1"/>
    <row r="31" spans="1:5" ht="15.75">
      <c r="A31" s="33" t="s">
        <v>73</v>
      </c>
      <c r="B31" s="34"/>
      <c r="C31" s="35"/>
      <c r="D31" s="43"/>
      <c r="E31" s="36"/>
    </row>
    <row r="32" spans="1:5" ht="15.75">
      <c r="A32" s="37"/>
      <c r="B32" s="24" t="s">
        <v>15</v>
      </c>
      <c r="C32" s="21"/>
      <c r="D32" s="20"/>
      <c r="E32" s="38"/>
    </row>
    <row r="33" spans="1:5" ht="15.75">
      <c r="A33" s="37"/>
      <c r="B33" s="19" t="s">
        <v>65</v>
      </c>
      <c r="C33" s="20">
        <f>C133*(10^9)</f>
        <v>-7.179527547525849</v>
      </c>
      <c r="D33" s="20" t="s">
        <v>78</v>
      </c>
      <c r="E33" s="38">
        <f>SQRT(F208)*(10^9)</f>
        <v>29.58158579092058</v>
      </c>
    </row>
    <row r="34" spans="1:5" ht="15.75">
      <c r="A34" s="37"/>
      <c r="B34" s="19" t="s">
        <v>66</v>
      </c>
      <c r="C34" s="20">
        <f>C134*(10^9)</f>
        <v>-7.505517995211317</v>
      </c>
      <c r="D34" s="20" t="s">
        <v>78</v>
      </c>
      <c r="E34" s="38">
        <f>SQRT(G209)*(10^9)</f>
        <v>19.024596573990713</v>
      </c>
    </row>
    <row r="35" spans="1:5" ht="15.75">
      <c r="A35" s="37"/>
      <c r="B35" s="19" t="s">
        <v>67</v>
      </c>
      <c r="C35" s="20">
        <f>C135*(10^9)</f>
        <v>-32.266030458726476</v>
      </c>
      <c r="D35" s="20" t="s">
        <v>78</v>
      </c>
      <c r="E35" s="38">
        <f>SQRT(H210)*(10^9)</f>
        <v>26.11096144171396</v>
      </c>
    </row>
    <row r="36" spans="1:5" ht="34.5" customHeight="1">
      <c r="A36" s="37"/>
      <c r="B36" s="55" t="s">
        <v>119</v>
      </c>
      <c r="C36" s="56">
        <f>C173*(10^9)</f>
        <v>-39.44555800625233</v>
      </c>
      <c r="D36" s="21"/>
      <c r="E36" s="39"/>
    </row>
    <row r="37" spans="1:5" ht="34.5" customHeight="1">
      <c r="A37" s="37"/>
      <c r="B37" s="55" t="s">
        <v>120</v>
      </c>
      <c r="C37" s="57">
        <f>C174*(10^9)</f>
        <v>1.7532205415129398E-07</v>
      </c>
      <c r="D37" s="21"/>
      <c r="E37" s="39"/>
    </row>
    <row r="38" spans="1:5" ht="34.5" customHeight="1">
      <c r="A38" s="40"/>
      <c r="B38" s="55" t="s">
        <v>121</v>
      </c>
      <c r="C38" s="57">
        <f>C175*(10^9)</f>
        <v>1.7532205415129398E-07</v>
      </c>
      <c r="D38" s="21"/>
      <c r="E38" s="39"/>
    </row>
    <row r="40" ht="18.75">
      <c r="A40" s="4" t="s">
        <v>21</v>
      </c>
    </row>
    <row r="41" spans="1:5" ht="15.75" customHeight="1">
      <c r="A41" s="4"/>
      <c r="B41" s="47" t="s">
        <v>111</v>
      </c>
      <c r="C41" t="str">
        <f>B11</f>
        <v>TRUC</v>
      </c>
      <c r="D41" t="str">
        <f>B12</f>
        <v>P150</v>
      </c>
      <c r="E41" t="str">
        <f>B13</f>
        <v>BHIL</v>
      </c>
    </row>
    <row r="42" spans="1:5" s="42" customFormat="1" ht="15.75">
      <c r="A42" s="41"/>
      <c r="B42" s="44" t="s">
        <v>80</v>
      </c>
      <c r="C42" s="42">
        <f>D11*(PI()/180)</f>
        <v>0.6858445828636918</v>
      </c>
      <c r="D42" s="42">
        <f>D12*(PI()/180)</f>
        <v>0.685774769693612</v>
      </c>
      <c r="E42" s="42">
        <f>D13*(PI()/180)</f>
        <v>0.687293206142847</v>
      </c>
    </row>
    <row r="43" spans="1:5" s="42" customFormat="1" ht="15.75">
      <c r="A43" s="41"/>
      <c r="B43" s="44" t="s">
        <v>81</v>
      </c>
      <c r="C43" s="42">
        <f>C11*(PI()/180)</f>
        <v>-2.0983744530877426</v>
      </c>
      <c r="D43" s="42">
        <f>C12*(PI()/180)</f>
        <v>-2.0949885143388736</v>
      </c>
      <c r="E43" s="42">
        <f>C13*(PI()/180)</f>
        <v>-2.0964545909105485</v>
      </c>
    </row>
    <row r="44" spans="1:5" s="42" customFormat="1" ht="15.75">
      <c r="A44" s="41"/>
      <c r="B44" s="44"/>
      <c r="C44" s="42">
        <f>(C11+180)/6</f>
        <v>9.962000000000002</v>
      </c>
      <c r="D44" s="42">
        <f>(C12+180)/6</f>
        <v>9.994333333333332</v>
      </c>
      <c r="E44" s="42">
        <f>(C13+180)/6</f>
        <v>9.980333333333334</v>
      </c>
    </row>
    <row r="45" spans="1:5" s="42" customFormat="1" ht="15.75">
      <c r="A45" s="41"/>
      <c r="B45" s="44" t="s">
        <v>82</v>
      </c>
      <c r="C45" s="42">
        <f>IF((C44-INT(C44))&gt;0,INT(C44)+1,INT(C44))</f>
        <v>10</v>
      </c>
      <c r="D45" s="42">
        <f>IF((D44-INT(D44))&gt;0,INT(D44)+1,INT(D44))</f>
        <v>10</v>
      </c>
      <c r="E45" s="42">
        <f>IF((E44-INT(E44))&gt;0,INT(E44)+1,INT(E44))</f>
        <v>10</v>
      </c>
    </row>
    <row r="46" spans="1:5" s="42" customFormat="1" ht="16.5">
      <c r="A46" s="41"/>
      <c r="B46" s="45" t="s">
        <v>83</v>
      </c>
      <c r="C46" s="42">
        <f>-183+(6*C45)</f>
        <v>-123</v>
      </c>
      <c r="D46" s="42">
        <f>-183+(6*D45)</f>
        <v>-123</v>
      </c>
      <c r="E46" s="42">
        <f>-183+(6*E45)</f>
        <v>-123</v>
      </c>
    </row>
    <row r="47" spans="1:5" s="42" customFormat="1" ht="15.75">
      <c r="A47" s="41"/>
      <c r="B47" s="45"/>
      <c r="C47" s="42">
        <f>C46*(PI()/180)</f>
        <v>-2.1467549799530254</v>
      </c>
      <c r="D47" s="42">
        <f>D46*(PI()/180)</f>
        <v>-2.1467549799530254</v>
      </c>
      <c r="E47" s="42">
        <f>E46*(PI()/180)</f>
        <v>-2.1467549799530254</v>
      </c>
    </row>
    <row r="48" spans="1:5" s="42" customFormat="1" ht="33.75">
      <c r="A48" s="41"/>
      <c r="B48" s="45" t="s">
        <v>84</v>
      </c>
      <c r="C48" s="42">
        <f>IF((C46=-177),177,C46-6)</f>
        <v>-129</v>
      </c>
      <c r="D48" s="42">
        <f>IF((D46=-177),177,D46-6)</f>
        <v>-129</v>
      </c>
      <c r="E48" s="42">
        <f>IF((E46=-177),177,E46-6)</f>
        <v>-129</v>
      </c>
    </row>
    <row r="49" spans="1:5" s="42" customFormat="1" ht="15.75">
      <c r="A49" s="41"/>
      <c r="B49" s="45"/>
      <c r="C49" s="42">
        <f>C48*(PI()/180)</f>
        <v>-2.251474735072685</v>
      </c>
      <c r="D49" s="42">
        <f>D48*(PI()/180)</f>
        <v>-2.251474735072685</v>
      </c>
      <c r="E49" s="42">
        <f>E48*(PI()/180)</f>
        <v>-2.251474735072685</v>
      </c>
    </row>
    <row r="50" spans="1:5" s="42" customFormat="1" ht="15.75">
      <c r="A50" s="41"/>
      <c r="B50" s="45"/>
      <c r="C50" s="42">
        <f>(C48+180)/6</f>
        <v>8.5</v>
      </c>
      <c r="D50" s="42">
        <f>(D48+180)/6</f>
        <v>8.5</v>
      </c>
      <c r="E50" s="42">
        <f>(E48+180)/6</f>
        <v>8.5</v>
      </c>
    </row>
    <row r="51" spans="1:5" s="42" customFormat="1" ht="16.5">
      <c r="A51" s="41"/>
      <c r="B51" s="45" t="s">
        <v>85</v>
      </c>
      <c r="C51" s="42">
        <f>IF((C50-INT(C50))&gt;0,INT(C50)+1,INT(C50))</f>
        <v>9</v>
      </c>
      <c r="D51" s="42">
        <f>IF((D50-INT(D50))&gt;0,INT(D50)+1,INT(D50))</f>
        <v>9</v>
      </c>
      <c r="E51" s="42">
        <f>IF((E50-INT(E50))&gt;0,INT(E50)+1,INT(E50))</f>
        <v>9</v>
      </c>
    </row>
    <row r="52" spans="1:2" s="42" customFormat="1" ht="15.75">
      <c r="A52" s="41"/>
      <c r="B52" s="45"/>
    </row>
    <row r="53" spans="1:5" s="42" customFormat="1" ht="15.75">
      <c r="A53" s="41"/>
      <c r="B53" s="44" t="s">
        <v>86</v>
      </c>
      <c r="C53" s="42">
        <v>6378137</v>
      </c>
      <c r="D53" s="42">
        <v>6378137</v>
      </c>
      <c r="E53" s="42">
        <v>6378137</v>
      </c>
    </row>
    <row r="54" spans="1:5" s="42" customFormat="1" ht="15.75">
      <c r="A54" s="41"/>
      <c r="B54" s="44" t="s">
        <v>87</v>
      </c>
      <c r="C54" s="46">
        <v>6356752.31424783</v>
      </c>
      <c r="D54" s="46">
        <v>6356752.31424783</v>
      </c>
      <c r="E54" s="46">
        <v>6356752.31424783</v>
      </c>
    </row>
    <row r="55" spans="1:2" s="42" customFormat="1" ht="15.75">
      <c r="A55" s="41"/>
      <c r="B55" s="44"/>
    </row>
    <row r="56" spans="1:5" s="42" customFormat="1" ht="18">
      <c r="A56" s="41"/>
      <c r="B56" s="44" t="s">
        <v>88</v>
      </c>
      <c r="C56" s="42">
        <v>0.9996</v>
      </c>
      <c r="D56" s="42">
        <v>0.9996</v>
      </c>
      <c r="E56" s="42">
        <v>0.9996</v>
      </c>
    </row>
    <row r="57" spans="1:5" s="42" customFormat="1" ht="15.75">
      <c r="A57" s="41"/>
      <c r="B57" s="44" t="s">
        <v>89</v>
      </c>
      <c r="C57" s="42">
        <f>SQRT(1-C54^2/C53^2)</f>
        <v>0.08181919083755958</v>
      </c>
      <c r="D57" s="42">
        <f>SQRT(1-D54^2/D53^2)</f>
        <v>0.08181919083755958</v>
      </c>
      <c r="E57" s="42">
        <f>SQRT(1-E54^2/E53^2)</f>
        <v>0.08181919083755958</v>
      </c>
    </row>
    <row r="58" spans="1:5" s="42" customFormat="1" ht="18.75">
      <c r="A58" s="41"/>
      <c r="B58" s="44" t="s">
        <v>90</v>
      </c>
      <c r="C58" s="42">
        <f>((C57*C53)/C54)^2</f>
        <v>0.0067394967414369095</v>
      </c>
      <c r="D58" s="42">
        <f>((D57*D53)/D54)^2</f>
        <v>0.0067394967414369095</v>
      </c>
      <c r="E58" s="42">
        <f>((E57*E53)/E54)^2</f>
        <v>0.0067394967414369095</v>
      </c>
    </row>
    <row r="59" spans="1:5" s="42" customFormat="1" ht="15.75">
      <c r="A59" s="41"/>
      <c r="B59" s="44" t="s">
        <v>91</v>
      </c>
      <c r="C59" s="42">
        <f>(C53-C54)/(C53+C54)</f>
        <v>0.0016792203861752386</v>
      </c>
      <c r="D59" s="42">
        <f>(D53-D54)/(D53+D54)</f>
        <v>0.0016792203861752386</v>
      </c>
      <c r="E59" s="42">
        <f>(E53-E54)/(E53+E54)</f>
        <v>0.0016792203861752386</v>
      </c>
    </row>
    <row r="60" spans="1:5" s="42" customFormat="1" ht="15.75">
      <c r="A60" s="41"/>
      <c r="B60" s="44" t="s">
        <v>92</v>
      </c>
      <c r="C60" s="42">
        <f>(C53*(1-(C57^2)))/((1-((C57^2)*((SIN(C42))^2)))^(3/2))</f>
        <v>6361042.509707159</v>
      </c>
      <c r="D60" s="42">
        <f>(D53*(1-(D57^2)))/((1-((D57^2)*((SIN(D42))^2)))^(3/2))</f>
        <v>6361038.12679652</v>
      </c>
      <c r="E60" s="42">
        <f>(E53*(1-(E57^2)))/((1-((E57^2)*((SIN(E42))^2)))^(3/2))</f>
        <v>6361133.483977687</v>
      </c>
    </row>
    <row r="61" spans="1:5" s="42" customFormat="1" ht="15.75">
      <c r="A61" s="41"/>
      <c r="B61" s="44" t="s">
        <v>93</v>
      </c>
      <c r="C61" s="42">
        <f>C53/SQRT(1-((C57^2)*((SIN(C42))^2)))</f>
        <v>6386717.363512605</v>
      </c>
      <c r="D61" s="42">
        <f>D53/SQRT(1-((D57^2)*((SIN(D42))^2)))</f>
        <v>6386715.896645193</v>
      </c>
      <c r="E61" s="42">
        <f>E53/SQRT(1-((E57^2)*((SIN(E42))^2)))</f>
        <v>6386747.810523057</v>
      </c>
    </row>
    <row r="62" spans="1:5" s="42" customFormat="1" ht="15.75">
      <c r="A62" s="41"/>
      <c r="B62" s="44" t="s">
        <v>94</v>
      </c>
      <c r="C62" s="42">
        <f>C43-C47</f>
        <v>0.048380526865282825</v>
      </c>
      <c r="D62" s="42">
        <f>D43-D47</f>
        <v>0.05176646561415188</v>
      </c>
      <c r="E62" s="42">
        <f>E43-E47</f>
        <v>0.05030038904247691</v>
      </c>
    </row>
    <row r="63" spans="1:5" s="42" customFormat="1" ht="15.75">
      <c r="A63" s="41"/>
      <c r="B63" s="44" t="s">
        <v>110</v>
      </c>
      <c r="C63" s="42">
        <f>IF((C48=177),(ABS(C43)-C49),(C43-C49))</f>
        <v>0.1531002819849423</v>
      </c>
      <c r="D63" s="42">
        <f>IF((D48=177),(ABS(D43)-D49),(D43-D49))</f>
        <v>0.15648622073381135</v>
      </c>
      <c r="E63" s="42">
        <f>IF((E48=177),(ABS(E43)-E49),(E43-E49))</f>
        <v>0.1550201441621364</v>
      </c>
    </row>
    <row r="64" spans="1:2" s="42" customFormat="1" ht="15.75">
      <c r="A64" s="41"/>
      <c r="B64" s="44"/>
    </row>
    <row r="65" spans="1:5" s="42" customFormat="1" ht="15.75">
      <c r="A65" s="41"/>
      <c r="B65" s="44" t="s">
        <v>95</v>
      </c>
      <c r="C65" s="42">
        <f>C42*(1-((C57^2)/4)-((3*(C57^4))/64)-((5*(C57^6))/256))</f>
        <v>0.6846953120351875</v>
      </c>
      <c r="D65" s="42">
        <f>D42*(1-((D57^2)/4)-((3*(D57^4))/64)-((5*(D57^6))/256))</f>
        <v>0.6846256158511448</v>
      </c>
      <c r="E65" s="42">
        <f>E42*(1-((E57^2)/4)-((3*(E57^4))/64)-((5*(E57^6))/256))</f>
        <v>0.6861415078540728</v>
      </c>
    </row>
    <row r="66" spans="1:5" s="42" customFormat="1" ht="15.75">
      <c r="A66" s="41"/>
      <c r="B66" s="44" t="s">
        <v>96</v>
      </c>
      <c r="C66" s="42">
        <f>SIN(2*C42)*(((3*(C57^2))/8)+((3*(C57^4))/32)+((45*(C57^6))/1024))</f>
        <v>0.0024649273940375105</v>
      </c>
      <c r="D66" s="42">
        <f>SIN(2*D42)*(((3*(D57^2))/8)+((3*(D57^4))/32)+((45*(D57^6))/1024))</f>
        <v>0.0024648579233987637</v>
      </c>
      <c r="E66" s="42">
        <f>SIN(2*E42)*(((3*(E57^2))/8)+((3*(E57^4))/32)+((45*(E57^6))/1024))</f>
        <v>0.002466358063869882</v>
      </c>
    </row>
    <row r="67" spans="1:5" s="42" customFormat="1" ht="15.75">
      <c r="A67" s="41"/>
      <c r="B67" s="44" t="s">
        <v>98</v>
      </c>
      <c r="C67" s="42">
        <f>SIN(4*C42)*(((15*(C57^4))/256)+((45*(C57^6))/1024))</f>
        <v>1.0233510255793465E-06</v>
      </c>
      <c r="D67" s="42">
        <f>SIN(4*D42)*(((15*(D57^4))/256)+((45*(D57^6))/1024))</f>
        <v>1.024030282930216E-06</v>
      </c>
      <c r="E67" s="42">
        <f>SIN(4*E42)*(((15*(E57^4))/256)+((45*(E57^6))/1024))</f>
        <v>1.0092385062415178E-06</v>
      </c>
    </row>
    <row r="68" spans="1:5" s="42" customFormat="1" ht="15.75">
      <c r="A68" s="41"/>
      <c r="B68" s="44" t="s">
        <v>99</v>
      </c>
      <c r="C68" s="42">
        <f>SIN(6*C42)*((35*(C57^6))/3072)</f>
        <v>-2.8261945095230553E-09</v>
      </c>
      <c r="D68" s="42">
        <f>SIN(6*D42)*((35*(D57^6))/3072)</f>
        <v>-2.825389004013892E-09</v>
      </c>
      <c r="E68" s="42">
        <f>SIN(6*E42)*((35*(E57^6))/3072)</f>
        <v>-2.8427966405042916E-09</v>
      </c>
    </row>
    <row r="69" spans="1:5" s="42" customFormat="1" ht="15.75">
      <c r="A69" s="41"/>
      <c r="B69" s="44" t="s">
        <v>97</v>
      </c>
      <c r="C69" s="42">
        <f>C53*(C65-C66+C67-C68)</f>
        <v>4351365.403902846</v>
      </c>
      <c r="D69" s="42">
        <f>D53*(D65-D66+D67-D68)</f>
        <v>4350921.319513155</v>
      </c>
      <c r="E69" s="42">
        <f>E53*(E65-E66+E67-E68)</f>
        <v>4360580.22405064</v>
      </c>
    </row>
    <row r="70" spans="1:2" s="42" customFormat="1" ht="15.75">
      <c r="A70" s="41"/>
      <c r="B70" s="44"/>
    </row>
    <row r="71" spans="1:5" s="42" customFormat="1" ht="15.75">
      <c r="A71" s="41"/>
      <c r="B71" s="44" t="s">
        <v>100</v>
      </c>
      <c r="C71" s="42">
        <f>C69*C56</f>
        <v>4349624.857741285</v>
      </c>
      <c r="D71" s="42">
        <f>D69*D56</f>
        <v>4349180.95098535</v>
      </c>
      <c r="E71" s="42">
        <f>E69*E56</f>
        <v>4358835.99196102</v>
      </c>
    </row>
    <row r="72" spans="1:5" s="42" customFormat="1" ht="15.75">
      <c r="A72" s="41"/>
      <c r="B72" s="44" t="s">
        <v>101</v>
      </c>
      <c r="C72" s="42">
        <f>C56*C61*SIN(2*C42)/4</f>
        <v>1564508.5984295565</v>
      </c>
      <c r="D72" s="42">
        <f>D56*D61*SIN(2*D42)/4</f>
        <v>1564464.1455566208</v>
      </c>
      <c r="E72" s="42">
        <f>E56*E61*SIN(2*E42)/4</f>
        <v>1565424.1184211783</v>
      </c>
    </row>
    <row r="73" spans="1:5" s="42" customFormat="1" ht="15.75">
      <c r="A73" s="41"/>
      <c r="B73" s="44" t="s">
        <v>102</v>
      </c>
      <c r="C73" s="42">
        <f>(C56*C61*SIN(C42)*((COS(C42))^3)/24)*(5-((TAN(C42))^2)+(9*C58*((COS(C42))^2))+(4*(C58^2)*((COS(C42))^4)))</f>
        <v>340955.6306850636</v>
      </c>
      <c r="D73" s="42">
        <f>(D56*D61*SIN(D42)*((COS(D42))^3)/24)*(5-((TAN(D42))^2)+(9*D58*((COS(D42))^2))+(4*(D58^2)*((COS(D42))^4)))</f>
        <v>341000.1234222006</v>
      </c>
      <c r="E73" s="42">
        <f>(E56*E61*SIN(E42)*((COS(E42))^3)/24)*(5-((TAN(E42))^2)+(9*E58*((COS(E42))^2))+(4*(E58^2)*((COS(E42))^4)))</f>
        <v>340029.8915191336</v>
      </c>
    </row>
    <row r="74" spans="1:5" s="42" customFormat="1" ht="15.75">
      <c r="A74" s="41"/>
      <c r="B74" s="44" t="s">
        <v>103</v>
      </c>
      <c r="C74" s="42">
        <f>C56*C61*COS(C42)</f>
        <v>4940604.069513612</v>
      </c>
      <c r="D74" s="42">
        <f>D56*D61*COS(D42)</f>
        <v>4940885.195587825</v>
      </c>
      <c r="E74" s="42">
        <f>E56*E61*COS(E42)</f>
        <v>4934765.249802925</v>
      </c>
    </row>
    <row r="75" spans="1:5" s="42" customFormat="1" ht="15.75">
      <c r="A75" s="41"/>
      <c r="B75" s="44" t="s">
        <v>104</v>
      </c>
      <c r="C75" s="42">
        <f>(C56*C61*((COS(C42))^3)/6)*(1-((TAN(C42))^2)+(C58*((COS(C42))^2)))</f>
        <v>164860.97310707602</v>
      </c>
      <c r="D75" s="42">
        <f>(D56*D61*((COS(D42))^3)/6)*(1-((TAN(D42))^2)+(D58*((COS(D42))^2)))</f>
        <v>164983.51527007378</v>
      </c>
      <c r="E75" s="42">
        <f>(E56*E61*((COS(E42))^3)/6)*(1-((TAN(E42))^2)+(E58*((COS(E42))^2)))</f>
        <v>162320.2461176554</v>
      </c>
    </row>
    <row r="76" spans="1:2" s="42" customFormat="1" ht="15.75">
      <c r="A76" s="41"/>
      <c r="B76" s="44"/>
    </row>
    <row r="77" spans="1:5" s="42" customFormat="1" ht="15.75" customHeight="1">
      <c r="A77" s="41"/>
      <c r="B77" s="51" t="s">
        <v>111</v>
      </c>
      <c r="C77" s="52" t="str">
        <f>B11</f>
        <v>TRUC</v>
      </c>
      <c r="D77" s="52" t="str">
        <f>B12</f>
        <v>P150</v>
      </c>
      <c r="E77" s="52" t="str">
        <f>B13</f>
        <v>BHIL</v>
      </c>
    </row>
    <row r="78" spans="1:5" s="42" customFormat="1" ht="15.75">
      <c r="A78" s="41"/>
      <c r="B78" s="44" t="s">
        <v>107</v>
      </c>
      <c r="C78" s="48">
        <f>C71+(C72*(C62^2))+(C73*(C62^4))</f>
        <v>4353288.732513548</v>
      </c>
      <c r="D78" s="48">
        <f>D71+(D72*(D62^2))+(D73*(D62^4))</f>
        <v>4353375.799089497</v>
      </c>
      <c r="E78" s="48">
        <f>E71+(E72*(E62^2))+(E73*(E62^4))</f>
        <v>4362798.893855617</v>
      </c>
    </row>
    <row r="79" spans="1:5" s="42" customFormat="1" ht="15.75">
      <c r="A79" s="41"/>
      <c r="B79" s="44" t="s">
        <v>108</v>
      </c>
      <c r="C79" s="48">
        <f>500000+(C74*C62)+(C75*(C62^3))</f>
        <v>739047.6972848269</v>
      </c>
      <c r="D79" s="48">
        <f>500000+(D74*D62)+(D75*(D62^3))</f>
        <v>755795.0504346832</v>
      </c>
      <c r="E79" s="48">
        <f>500000+(E74*E62)+(E75*(E62^3))</f>
        <v>748241.2698247326</v>
      </c>
    </row>
    <row r="80" spans="1:5" s="42" customFormat="1" ht="15.75">
      <c r="A80" s="41"/>
      <c r="B80" s="44" t="s">
        <v>109</v>
      </c>
      <c r="C80" s="48">
        <f>C71+(C72*(C63^2))+(C73*(C63^4))</f>
        <v>4386483.791841845</v>
      </c>
      <c r="D80" s="48">
        <f>D71+(D72*(D63^2))+(D73*(D63^4))</f>
        <v>4387695.934675481</v>
      </c>
      <c r="E80" s="48">
        <f>E71+(E72*(E63^2))+(E73*(E63^4))</f>
        <v>4396651.450144337</v>
      </c>
    </row>
    <row r="81" spans="1:5" s="42" customFormat="1" ht="15.75">
      <c r="A81" s="41"/>
      <c r="B81" s="44" t="s">
        <v>114</v>
      </c>
      <c r="C81" s="48">
        <f>500000+(C74*C63)+(C75*(C63^3))</f>
        <v>1256999.5002830077</v>
      </c>
      <c r="D81" s="48">
        <f>500000+(D74*D63)+(D75*(D63^3))</f>
        <v>1273812.672252427</v>
      </c>
      <c r="E81" s="48">
        <f>500000+(E74*E63)+(E75*(E63^3))</f>
        <v>1265592.7164391123</v>
      </c>
    </row>
    <row r="82" spans="1:5" s="42" customFormat="1" ht="15.75">
      <c r="A82" s="41"/>
      <c r="B82" s="44"/>
      <c r="C82" s="48"/>
      <c r="D82" s="48"/>
      <c r="E82" s="48"/>
    </row>
    <row r="83" spans="1:5" s="42" customFormat="1" ht="15.75">
      <c r="A83" s="41"/>
      <c r="B83" s="44" t="s">
        <v>112</v>
      </c>
      <c r="C83" s="49">
        <f>IF((STDEV(C45:E45)&gt;5),60,ROUNDDOWN(D83,0))</f>
        <v>10</v>
      </c>
      <c r="D83" s="54">
        <f>(C45+D45+E45)/3</f>
        <v>10</v>
      </c>
      <c r="E83" s="48">
        <f>STDEV(C45:E45)</f>
        <v>0</v>
      </c>
    </row>
    <row r="84" spans="1:5" s="42" customFormat="1" ht="15.75">
      <c r="A84" s="41"/>
      <c r="B84" s="44"/>
      <c r="C84" s="48"/>
      <c r="D84" s="48"/>
      <c r="E84" s="48"/>
    </row>
    <row r="85" spans="1:5" s="42" customFormat="1" ht="51">
      <c r="A85" s="41"/>
      <c r="B85" s="50" t="s">
        <v>113</v>
      </c>
      <c r="C85" s="48"/>
      <c r="D85" s="48"/>
      <c r="E85" s="48"/>
    </row>
    <row r="86" spans="1:5" s="42" customFormat="1" ht="15.75">
      <c r="A86" s="41"/>
      <c r="B86" s="51" t="s">
        <v>111</v>
      </c>
      <c r="C86" s="41" t="str">
        <f>B11</f>
        <v>TRUC</v>
      </c>
      <c r="D86" s="41" t="str">
        <f>B12</f>
        <v>P150</v>
      </c>
      <c r="E86" s="41" t="str">
        <f>B13</f>
        <v>BHIL</v>
      </c>
    </row>
    <row r="87" spans="1:7" s="42" customFormat="1" ht="15.75">
      <c r="A87" s="41"/>
      <c r="B87" s="44" t="s">
        <v>105</v>
      </c>
      <c r="C87" s="48">
        <f>IF((C45=C83),C78,C80)</f>
        <v>4353288.732513548</v>
      </c>
      <c r="D87" s="48">
        <f>IF((D45=C83),D78,D80)</f>
        <v>4353375.799089497</v>
      </c>
      <c r="E87" s="48">
        <f>IF((E45=C83),E78,E80)</f>
        <v>4362798.893855617</v>
      </c>
      <c r="F87"/>
      <c r="G87"/>
    </row>
    <row r="88" spans="1:7" s="42" customFormat="1" ht="15.75">
      <c r="A88" s="41"/>
      <c r="B88" s="44" t="s">
        <v>106</v>
      </c>
      <c r="C88" s="48">
        <f>IF((C45=C83),C79,C81)</f>
        <v>739047.6972848269</v>
      </c>
      <c r="D88" s="48">
        <f>IF((D45=C83),D79,D81)</f>
        <v>755795.0504346832</v>
      </c>
      <c r="E88" s="48">
        <f>IF((E45=C83),E79,E81)</f>
        <v>748241.2698247326</v>
      </c>
      <c r="F88"/>
      <c r="G88"/>
    </row>
    <row r="89" s="42" customFormat="1" ht="15.75">
      <c r="A89" s="41"/>
    </row>
    <row r="90" spans="3:4" ht="15.75">
      <c r="C90" s="2" t="s">
        <v>115</v>
      </c>
      <c r="D90" s="2" t="s">
        <v>116</v>
      </c>
    </row>
    <row r="91" spans="2:4" ht="15.75">
      <c r="B91" t="s">
        <v>22</v>
      </c>
      <c r="C91" s="7">
        <f>(C88+D88+E88)/3</f>
        <v>747694.6725147475</v>
      </c>
      <c r="D91" s="7">
        <f>(C87+D87+E87)/3</f>
        <v>4356487.80848622</v>
      </c>
    </row>
    <row r="93" ht="15.75">
      <c r="B93" t="s">
        <v>23</v>
      </c>
    </row>
    <row r="94" spans="3:5" ht="15.75">
      <c r="C94" s="53" t="s">
        <v>6</v>
      </c>
      <c r="D94" s="53" t="s">
        <v>24</v>
      </c>
      <c r="E94" s="53" t="s">
        <v>25</v>
      </c>
    </row>
    <row r="95" spans="3:5" ht="15.75">
      <c r="C95" s="53" t="str">
        <f>B11</f>
        <v>TRUC</v>
      </c>
      <c r="D95" s="8">
        <f>C88-C91</f>
        <v>-8646.975229920587</v>
      </c>
      <c r="E95" s="8">
        <f>C87-D91</f>
        <v>-3199.075972672552</v>
      </c>
    </row>
    <row r="96" spans="3:5" ht="15.75">
      <c r="C96" s="53" t="str">
        <f>B12</f>
        <v>P150</v>
      </c>
      <c r="D96" s="8">
        <f>D88-C91</f>
        <v>8100.377919935738</v>
      </c>
      <c r="E96" s="8">
        <f>D87-D91</f>
        <v>-3112.0093967234716</v>
      </c>
    </row>
    <row r="97" spans="3:5" ht="15.75">
      <c r="C97" s="53" t="str">
        <f>B13</f>
        <v>BHIL</v>
      </c>
      <c r="D97" s="8">
        <f>E88-C91</f>
        <v>546.5973099850817</v>
      </c>
      <c r="E97" s="8">
        <f>E87-D91</f>
        <v>6311.085369396955</v>
      </c>
    </row>
    <row r="98" spans="3:5" ht="15.75">
      <c r="C98" s="53"/>
      <c r="D98" s="8"/>
      <c r="E98" s="8"/>
    </row>
    <row r="99" spans="2:5" ht="15.75">
      <c r="B99" t="s">
        <v>123</v>
      </c>
      <c r="C99" s="53"/>
      <c r="D99" s="8"/>
      <c r="E99" s="8"/>
    </row>
    <row r="100" spans="3:7" ht="15.75">
      <c r="C100" s="53" t="s">
        <v>6</v>
      </c>
      <c r="D100" s="59" t="s">
        <v>7</v>
      </c>
      <c r="E100" s="59" t="s">
        <v>8</v>
      </c>
      <c r="F100" s="59" t="s">
        <v>9</v>
      </c>
      <c r="G100" s="59" t="s">
        <v>10</v>
      </c>
    </row>
    <row r="101" spans="3:7" ht="15.75">
      <c r="C101" s="53" t="str">
        <f>B11</f>
        <v>TRUC</v>
      </c>
      <c r="D101" s="60">
        <f aca="true" t="shared" si="0" ref="D101:G103">E11*0.001</f>
        <v>-0.00876</v>
      </c>
      <c r="E101" s="60">
        <f t="shared" si="0"/>
        <v>0.00044</v>
      </c>
      <c r="F101" s="61">
        <f t="shared" si="0"/>
        <v>0.00847</v>
      </c>
      <c r="G101" s="61">
        <f t="shared" si="0"/>
        <v>0.00033</v>
      </c>
    </row>
    <row r="102" spans="3:7" ht="15.75">
      <c r="C102" s="53" t="str">
        <f>B12</f>
        <v>P150</v>
      </c>
      <c r="D102" s="60">
        <f t="shared" si="0"/>
        <v>-0.00888</v>
      </c>
      <c r="E102" s="60">
        <f t="shared" si="0"/>
        <v>0.00023</v>
      </c>
      <c r="F102" s="61">
        <f t="shared" si="0"/>
        <v>0.00817</v>
      </c>
      <c r="G102" s="61">
        <f t="shared" si="0"/>
        <v>0.00021</v>
      </c>
    </row>
    <row r="103" spans="3:7" ht="15.75">
      <c r="C103" s="53" t="str">
        <f>B13</f>
        <v>BHIL</v>
      </c>
      <c r="D103" s="60">
        <f t="shared" si="0"/>
        <v>-0.0088</v>
      </c>
      <c r="E103" s="60">
        <f t="shared" si="0"/>
        <v>0.00016</v>
      </c>
      <c r="F103" s="61">
        <f t="shared" si="0"/>
        <v>0.008</v>
      </c>
      <c r="G103" s="61">
        <f t="shared" si="0"/>
        <v>0.00016</v>
      </c>
    </row>
    <row r="105" spans="2:4" ht="15.75">
      <c r="B105" t="s">
        <v>26</v>
      </c>
      <c r="C105" s="8">
        <f aca="true" t="shared" si="1" ref="C105:D107">D95</f>
        <v>-8646.975229920587</v>
      </c>
      <c r="D105" s="8">
        <f t="shared" si="1"/>
        <v>-3199.075972672552</v>
      </c>
    </row>
    <row r="106" spans="3:4" ht="15.75">
      <c r="C106" s="8">
        <f t="shared" si="1"/>
        <v>8100.377919935738</v>
      </c>
      <c r="D106" s="8">
        <f t="shared" si="1"/>
        <v>-3112.0093967234716</v>
      </c>
    </row>
    <row r="107" spans="3:4" ht="15.75">
      <c r="C107" s="8">
        <f t="shared" si="1"/>
        <v>546.5973099850817</v>
      </c>
      <c r="D107" s="8">
        <f t="shared" si="1"/>
        <v>6311.085369396955</v>
      </c>
    </row>
    <row r="109" spans="2:8" ht="15.75">
      <c r="B109" t="s">
        <v>27</v>
      </c>
      <c r="C109">
        <v>1</v>
      </c>
      <c r="D109">
        <v>0</v>
      </c>
      <c r="E109">
        <f>(-1)*D105</f>
        <v>3199.075972672552</v>
      </c>
      <c r="F109" s="7">
        <f>C105</f>
        <v>-8646.975229920587</v>
      </c>
      <c r="G109" s="7">
        <f>D105</f>
        <v>-3199.075972672552</v>
      </c>
      <c r="H109">
        <v>0</v>
      </c>
    </row>
    <row r="110" spans="3:8" ht="15.75">
      <c r="C110">
        <v>0</v>
      </c>
      <c r="D110">
        <v>1</v>
      </c>
      <c r="E110" s="7">
        <f>C105</f>
        <v>-8646.975229920587</v>
      </c>
      <c r="F110">
        <v>0</v>
      </c>
      <c r="G110" s="7">
        <f>C105</f>
        <v>-8646.975229920587</v>
      </c>
      <c r="H110" s="7">
        <f>D105</f>
        <v>-3199.075972672552</v>
      </c>
    </row>
    <row r="111" spans="3:8" ht="15.75">
      <c r="C111">
        <v>1</v>
      </c>
      <c r="D111">
        <v>0</v>
      </c>
      <c r="E111">
        <f>(-1)*D106</f>
        <v>3112.0093967234716</v>
      </c>
      <c r="F111" s="7">
        <f>C106</f>
        <v>8100.377919935738</v>
      </c>
      <c r="G111" s="7">
        <f>D106</f>
        <v>-3112.0093967234716</v>
      </c>
      <c r="H111">
        <v>0</v>
      </c>
    </row>
    <row r="112" spans="3:8" ht="15.75">
      <c r="C112">
        <v>0</v>
      </c>
      <c r="D112">
        <v>1</v>
      </c>
      <c r="E112" s="7">
        <f>C106</f>
        <v>8100.377919935738</v>
      </c>
      <c r="F112">
        <v>0</v>
      </c>
      <c r="G112" s="7">
        <f>C106</f>
        <v>8100.377919935738</v>
      </c>
      <c r="H112" s="7">
        <f>D106</f>
        <v>-3112.0093967234716</v>
      </c>
    </row>
    <row r="113" spans="3:8" ht="15.75">
      <c r="C113">
        <v>1</v>
      </c>
      <c r="D113">
        <v>0</v>
      </c>
      <c r="E113">
        <f>(-1)*D107</f>
        <v>-6311.085369396955</v>
      </c>
      <c r="F113" s="7">
        <f>C107</f>
        <v>546.5973099850817</v>
      </c>
      <c r="G113" s="7">
        <f>D107</f>
        <v>6311.085369396955</v>
      </c>
      <c r="H113">
        <v>0</v>
      </c>
    </row>
    <row r="114" spans="3:8" ht="15.75">
      <c r="C114">
        <v>0</v>
      </c>
      <c r="D114">
        <v>1</v>
      </c>
      <c r="E114" s="7">
        <f>C107</f>
        <v>546.5973099850817</v>
      </c>
      <c r="F114">
        <v>0</v>
      </c>
      <c r="G114" s="7">
        <f>C107</f>
        <v>546.5973099850817</v>
      </c>
      <c r="H114" s="7">
        <f>D107</f>
        <v>6311.085369396955</v>
      </c>
    </row>
    <row r="116" spans="2:8" ht="15.75">
      <c r="B116" t="s">
        <v>28</v>
      </c>
      <c r="C116">
        <f aca="true" t="array" ref="C116:H121">MINVERSE(C109:H114)</f>
        <v>0.33333333333335274</v>
      </c>
      <c r="D116">
        <v>-4.163336342344337E-17</v>
      </c>
      <c r="E116">
        <v>0.3333333333333467</v>
      </c>
      <c r="F116">
        <v>4.163336342344337E-17</v>
      </c>
      <c r="G116">
        <v>0.3333333333333006</v>
      </c>
      <c r="H116">
        <v>0</v>
      </c>
    </row>
    <row r="117" spans="3:8" ht="15.75">
      <c r="C117">
        <v>0</v>
      </c>
      <c r="D117">
        <v>0.3333333333333528</v>
      </c>
      <c r="E117">
        <v>0</v>
      </c>
      <c r="F117">
        <v>0.33333333333334664</v>
      </c>
      <c r="G117">
        <v>0</v>
      </c>
      <c r="H117">
        <v>0.3333333333333006</v>
      </c>
    </row>
    <row r="118" spans="3:8" ht="15.75">
      <c r="C118">
        <v>2.3833535506038967E-05</v>
      </c>
      <c r="D118">
        <v>-2.973155765064881E-05</v>
      </c>
      <c r="E118">
        <v>2.900737377367621E-05</v>
      </c>
      <c r="F118">
        <v>3.000626834671246E-05</v>
      </c>
      <c r="G118">
        <v>-5.284090927971518E-05</v>
      </c>
      <c r="H118">
        <v>-2.747106960636495E-07</v>
      </c>
    </row>
    <row r="119" spans="3:8" ht="15.75">
      <c r="C119">
        <v>-5.946311530129763E-05</v>
      </c>
      <c r="D119">
        <v>8.375571638704919E-23</v>
      </c>
      <c r="E119">
        <v>6.001253669342493E-05</v>
      </c>
      <c r="F119">
        <v>-2.407471074893443E-23</v>
      </c>
      <c r="G119">
        <v>-5.49421392127299E-07</v>
      </c>
      <c r="H119">
        <v>8.092339747540986E-25</v>
      </c>
    </row>
    <row r="120" spans="3:8" ht="15.75">
      <c r="C120">
        <v>-2.3833535506038967E-05</v>
      </c>
      <c r="D120">
        <v>-2.9731557650648823E-05</v>
      </c>
      <c r="E120">
        <v>-2.900737377367621E-05</v>
      </c>
      <c r="F120">
        <v>3.000626834671247E-05</v>
      </c>
      <c r="G120">
        <v>5.284090927971518E-05</v>
      </c>
      <c r="H120">
        <v>-2.747106960636495E-07</v>
      </c>
    </row>
    <row r="121" spans="3:8" ht="15.75">
      <c r="C121">
        <v>0</v>
      </c>
      <c r="D121">
        <v>-4.7667071012077935E-05</v>
      </c>
      <c r="E121">
        <v>0</v>
      </c>
      <c r="F121">
        <v>-5.801474754735242E-05</v>
      </c>
      <c r="G121">
        <v>0</v>
      </c>
      <c r="H121">
        <v>0.00010568181855943035</v>
      </c>
    </row>
    <row r="123" spans="2:3" ht="15.75">
      <c r="B123" t="s">
        <v>29</v>
      </c>
      <c r="C123" s="61">
        <f>D101</f>
        <v>-0.00876</v>
      </c>
    </row>
    <row r="124" ht="15.75">
      <c r="C124" s="61">
        <f>F101</f>
        <v>0.00847</v>
      </c>
    </row>
    <row r="125" ht="15.75">
      <c r="C125" s="61">
        <f>D102</f>
        <v>-0.00888</v>
      </c>
    </row>
    <row r="126" ht="15.75">
      <c r="C126" s="61">
        <f>F102</f>
        <v>0.00817</v>
      </c>
    </row>
    <row r="127" ht="15.75">
      <c r="C127" s="61">
        <f>D103</f>
        <v>-0.0088</v>
      </c>
    </row>
    <row r="128" ht="15.75">
      <c r="C128" s="61">
        <f>F103</f>
        <v>0.008</v>
      </c>
    </row>
    <row r="130" spans="2:3" ht="15.75">
      <c r="B130" t="s">
        <v>30</v>
      </c>
      <c r="C130">
        <f aca="true" t="array" ref="C130:C135">MMULT(C116:H121,C123:C128)</f>
        <v>-0.008813333333333336</v>
      </c>
    </row>
    <row r="131" ht="15.75">
      <c r="C131">
        <v>0.008213333333333347</v>
      </c>
    </row>
    <row r="132" ht="15.75">
      <c r="C132">
        <v>-1.0240014958516347E-08</v>
      </c>
    </row>
    <row r="133" ht="15.75">
      <c r="C133">
        <v>-7.1795275475258486E-09</v>
      </c>
    </row>
    <row r="134" ht="15.75">
      <c r="C134">
        <v>-7.505517995211317E-09</v>
      </c>
    </row>
    <row r="135" ht="15.75">
      <c r="C135">
        <v>-3.226603045872648E-08</v>
      </c>
    </row>
    <row r="137" spans="2:4" ht="15.75">
      <c r="B137" t="s">
        <v>35</v>
      </c>
      <c r="C137" t="s">
        <v>32</v>
      </c>
      <c r="D137" t="s">
        <v>33</v>
      </c>
    </row>
    <row r="138" spans="3:4" ht="15.75">
      <c r="C138">
        <v>0</v>
      </c>
      <c r="D138">
        <v>1</v>
      </c>
    </row>
    <row r="140" spans="2:4" ht="15.75">
      <c r="B140" t="s">
        <v>31</v>
      </c>
      <c r="C140" t="s">
        <v>32</v>
      </c>
      <c r="D140" t="s">
        <v>33</v>
      </c>
    </row>
    <row r="141" spans="2:4" ht="15.75">
      <c r="B141" s="6" t="s">
        <v>34</v>
      </c>
      <c r="C141">
        <f>C130</f>
        <v>-0.008813333333333336</v>
      </c>
      <c r="D141">
        <f>C131</f>
        <v>0.008213333333333347</v>
      </c>
    </row>
    <row r="142" ht="15.75">
      <c r="B142" s="6"/>
    </row>
    <row r="143" spans="2:3" ht="15.75">
      <c r="B143" s="6" t="s">
        <v>47</v>
      </c>
      <c r="C143">
        <f>SQRT((C141^2)+(D141^2))</f>
        <v>0.012047144428821677</v>
      </c>
    </row>
    <row r="144" ht="15.75">
      <c r="B144" s="6"/>
    </row>
    <row r="145" spans="2:4" ht="15.75">
      <c r="B145" s="6"/>
      <c r="C145" t="s">
        <v>32</v>
      </c>
      <c r="D145" t="s">
        <v>33</v>
      </c>
    </row>
    <row r="146" spans="2:4" ht="15.75">
      <c r="B146" s="6" t="s">
        <v>46</v>
      </c>
      <c r="C146">
        <f>C141/C143</f>
        <v>-0.7315703223618912</v>
      </c>
      <c r="D146">
        <f>D141/C143</f>
        <v>0.6817659887669071</v>
      </c>
    </row>
    <row r="147" ht="15.75">
      <c r="B147" s="6"/>
    </row>
    <row r="148" spans="2:4" ht="15.75">
      <c r="B148" s="6" t="s">
        <v>36</v>
      </c>
      <c r="C148" s="7">
        <f>ACOS((C146*C138)+(D146*D138))*(180/PI())</f>
        <v>47.01820175783178</v>
      </c>
      <c r="D148" t="s">
        <v>48</v>
      </c>
    </row>
    <row r="149" spans="2:4" ht="15.75">
      <c r="B149" s="6" t="s">
        <v>37</v>
      </c>
      <c r="C149" s="7">
        <f>IF((C141&lt;0),360-C148,C148)</f>
        <v>312.9817982421682</v>
      </c>
      <c r="D149" t="s">
        <v>48</v>
      </c>
    </row>
    <row r="151" spans="2:4" ht="15.75">
      <c r="B151" s="1" t="s">
        <v>38</v>
      </c>
      <c r="C151">
        <f>C133</f>
        <v>-7.1795275475258486E-09</v>
      </c>
      <c r="D151">
        <f>C134</f>
        <v>-7.505517995211317E-09</v>
      </c>
    </row>
    <row r="152" spans="3:4" ht="15.75">
      <c r="C152">
        <f>C134</f>
        <v>-7.505517995211317E-09</v>
      </c>
      <c r="D152">
        <f>C135</f>
        <v>-3.226603045872648E-08</v>
      </c>
    </row>
    <row r="154" ht="15.75">
      <c r="B154" t="s">
        <v>41</v>
      </c>
    </row>
    <row r="155" spans="2:3" ht="15.75">
      <c r="B155" s="6" t="s">
        <v>39</v>
      </c>
      <c r="C155">
        <f>((C151+D152)+SQRT((4*D151*C152)+((C151-D152)^2)))/2</f>
        <v>-5.105461962887202E-09</v>
      </c>
    </row>
    <row r="156" spans="2:3" ht="15.75">
      <c r="B156" s="6" t="s">
        <v>40</v>
      </c>
      <c r="C156">
        <f>((C151+D152)-SQRT((4*D151*C152)+((C151-D152)^2)))/2</f>
        <v>-3.434009604336513E-08</v>
      </c>
    </row>
    <row r="157" spans="2:3" ht="15.75">
      <c r="B157" s="6" t="s">
        <v>42</v>
      </c>
      <c r="C157">
        <f>IF((C155&gt;C156),C155,C156)</f>
        <v>-5.105461962887202E-09</v>
      </c>
    </row>
    <row r="158" spans="2:3" ht="15.75">
      <c r="B158" s="6" t="s">
        <v>43</v>
      </c>
      <c r="C158">
        <f>IF((C155&gt;C156),C156,C155)</f>
        <v>-3.434009604336513E-08</v>
      </c>
    </row>
    <row r="160" spans="3:4" ht="15.75">
      <c r="C160" t="s">
        <v>32</v>
      </c>
      <c r="D160" t="s">
        <v>33</v>
      </c>
    </row>
    <row r="161" spans="2:4" ht="15.75">
      <c r="B161" s="6" t="s">
        <v>44</v>
      </c>
      <c r="C161">
        <f>1/SQRT(1+((C157-C151)/D151)^2)</f>
        <v>0.9638747351424861</v>
      </c>
      <c r="D161">
        <f>((C157-C151)/D151)/SQRT(1+((C157-C151)/D151)^2)</f>
        <v>-0.26635595535674095</v>
      </c>
    </row>
    <row r="162" spans="2:4" ht="15.75">
      <c r="B162" s="6" t="s">
        <v>45</v>
      </c>
      <c r="C162">
        <f>1/SQRT(1+((C158-C151)/D151)^2)</f>
        <v>0.26635595535674095</v>
      </c>
      <c r="D162">
        <f>((C158-C151)/D151)/SQRT(1+((C158-C151)/D151)^2)</f>
        <v>0.9638747351424861</v>
      </c>
    </row>
    <row r="164" spans="2:4" ht="15.75">
      <c r="B164" s="6" t="s">
        <v>49</v>
      </c>
      <c r="C164">
        <f>ACOS((C161*C138)+(D161*D138))*(180/PI())</f>
        <v>105.44753946202462</v>
      </c>
      <c r="D164" t="s">
        <v>48</v>
      </c>
    </row>
    <row r="165" spans="2:4" ht="15.75">
      <c r="B165" s="6" t="s">
        <v>50</v>
      </c>
      <c r="C165">
        <f>IF((C161&lt;0),360-C164,C164)</f>
        <v>105.44753946202462</v>
      </c>
      <c r="D165" t="s">
        <v>48</v>
      </c>
    </row>
    <row r="166" spans="2:4" ht="15.75">
      <c r="B166" s="6" t="s">
        <v>51</v>
      </c>
      <c r="C166">
        <f>IF((C165&lt;180),(C165+180),(C165-180))</f>
        <v>285.4475394620246</v>
      </c>
      <c r="D166" t="s">
        <v>48</v>
      </c>
    </row>
    <row r="167" spans="2:4" ht="15.75">
      <c r="B167" s="6" t="s">
        <v>52</v>
      </c>
      <c r="C167">
        <f>ACOS((C162*C138)+(D162*D138))*(180/PI())</f>
        <v>15.447539462024618</v>
      </c>
      <c r="D167" t="s">
        <v>48</v>
      </c>
    </row>
    <row r="168" spans="2:4" ht="15.75">
      <c r="B168" s="6" t="s">
        <v>53</v>
      </c>
      <c r="C168">
        <f>IF((C162&lt;0),360-C167,C167)</f>
        <v>15.447539462024618</v>
      </c>
      <c r="D168" t="s">
        <v>48</v>
      </c>
    </row>
    <row r="169" spans="2:4" ht="15.75">
      <c r="B169" s="6" t="s">
        <v>54</v>
      </c>
      <c r="C169">
        <f>IF((C168&lt;180),(C168+180),(C168-180))</f>
        <v>195.44753946202462</v>
      </c>
      <c r="D169" t="s">
        <v>48</v>
      </c>
    </row>
    <row r="171" spans="2:3" ht="15.75">
      <c r="B171" s="1" t="s">
        <v>55</v>
      </c>
      <c r="C171">
        <f>2*SQRT(((C151-D152)/2)^2+(D151)^2)</f>
        <v>2.9234634080477923E-08</v>
      </c>
    </row>
    <row r="172" spans="2:3" ht="15.75">
      <c r="B172" s="1" t="s">
        <v>56</v>
      </c>
      <c r="C172">
        <f>C157+C158</f>
        <v>-3.944555800625233E-08</v>
      </c>
    </row>
    <row r="173" spans="2:3" ht="15.75">
      <c r="B173" t="s">
        <v>57</v>
      </c>
      <c r="C173">
        <f>C172</f>
        <v>-3.944555800625233E-08</v>
      </c>
    </row>
    <row r="174" spans="2:3" ht="15.75">
      <c r="B174" t="s">
        <v>58</v>
      </c>
      <c r="C174">
        <f>C157*C158</f>
        <v>1.7532205415129397E-16</v>
      </c>
    </row>
    <row r="175" spans="2:3" ht="15.75">
      <c r="B175" t="s">
        <v>59</v>
      </c>
      <c r="C175">
        <f>C174</f>
        <v>1.7532205415129397E-16</v>
      </c>
    </row>
    <row r="177" spans="2:8" ht="15.75">
      <c r="B177" t="s">
        <v>60</v>
      </c>
      <c r="C177" s="2">
        <f>1/(E101^2)</f>
        <v>5165289.256198347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3:8" ht="15.75">
      <c r="C178" s="2">
        <v>0</v>
      </c>
      <c r="D178" s="2">
        <f>1/(G101^2)</f>
        <v>9182736.455463728</v>
      </c>
      <c r="E178" s="2">
        <v>0</v>
      </c>
      <c r="F178" s="2">
        <v>0</v>
      </c>
      <c r="G178" s="2">
        <v>0</v>
      </c>
      <c r="H178" s="2">
        <v>0</v>
      </c>
    </row>
    <row r="179" spans="3:8" ht="15.75">
      <c r="C179" s="2">
        <v>0</v>
      </c>
      <c r="D179" s="2">
        <v>0</v>
      </c>
      <c r="E179" s="2">
        <f>1/(E102^2)</f>
        <v>18903591.682419658</v>
      </c>
      <c r="F179" s="2">
        <v>0</v>
      </c>
      <c r="G179" s="2">
        <v>0</v>
      </c>
      <c r="H179" s="2">
        <v>0</v>
      </c>
    </row>
    <row r="180" spans="3:8" ht="15.75">
      <c r="C180" s="2">
        <v>0</v>
      </c>
      <c r="D180" s="2">
        <v>0</v>
      </c>
      <c r="E180" s="2">
        <v>0</v>
      </c>
      <c r="F180" s="2">
        <f>1/(G102^2)</f>
        <v>22675736.961451244</v>
      </c>
      <c r="G180" s="2">
        <v>0</v>
      </c>
      <c r="H180" s="2">
        <v>0</v>
      </c>
    </row>
    <row r="181" spans="3:8" ht="15.75">
      <c r="C181" s="2">
        <v>0</v>
      </c>
      <c r="D181" s="2">
        <v>0</v>
      </c>
      <c r="E181" s="2">
        <v>0</v>
      </c>
      <c r="F181" s="2">
        <v>0</v>
      </c>
      <c r="G181" s="2">
        <f>1/(E103^2)</f>
        <v>39062499.99999999</v>
      </c>
      <c r="H181" s="2">
        <v>0</v>
      </c>
    </row>
    <row r="182" spans="3:8" ht="15.75"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f>1/(G103^2)</f>
        <v>39062499.99999999</v>
      </c>
    </row>
    <row r="184" spans="2:8" ht="15.75">
      <c r="B184" t="s">
        <v>61</v>
      </c>
      <c r="C184" s="2">
        <v>1</v>
      </c>
      <c r="D184" s="2">
        <v>0</v>
      </c>
      <c r="E184" s="2">
        <v>1</v>
      </c>
      <c r="F184" s="2">
        <v>0</v>
      </c>
      <c r="G184" s="2">
        <v>1</v>
      </c>
      <c r="H184" s="2">
        <v>0</v>
      </c>
    </row>
    <row r="185" spans="3:8" ht="15.75">
      <c r="C185" s="2">
        <v>0</v>
      </c>
      <c r="D185" s="2">
        <v>1</v>
      </c>
      <c r="E185" s="2">
        <v>0</v>
      </c>
      <c r="F185" s="2">
        <v>1</v>
      </c>
      <c r="G185" s="2">
        <v>0</v>
      </c>
      <c r="H185" s="2">
        <v>1</v>
      </c>
    </row>
    <row r="186" spans="3:8" ht="15.75">
      <c r="C186" s="2">
        <f>(-1)*D105</f>
        <v>3199.075972672552</v>
      </c>
      <c r="D186" s="9">
        <f>C105</f>
        <v>-8646.975229920587</v>
      </c>
      <c r="E186" s="2">
        <f>(-1)*D106</f>
        <v>3112.0093967234716</v>
      </c>
      <c r="F186" s="9">
        <f>C106</f>
        <v>8100.377919935738</v>
      </c>
      <c r="G186" s="2">
        <f>(-1)*D107</f>
        <v>-6311.085369396955</v>
      </c>
      <c r="H186" s="9">
        <f>C107</f>
        <v>546.5973099850817</v>
      </c>
    </row>
    <row r="187" spans="3:8" ht="15.75">
      <c r="C187" s="9">
        <f>C105</f>
        <v>-8646.975229920587</v>
      </c>
      <c r="D187" s="2">
        <v>0</v>
      </c>
      <c r="E187" s="9">
        <f>C106</f>
        <v>8100.377919935738</v>
      </c>
      <c r="F187" s="2">
        <v>0</v>
      </c>
      <c r="G187" s="9">
        <f>C107</f>
        <v>546.5973099850817</v>
      </c>
      <c r="H187" s="2">
        <v>0</v>
      </c>
    </row>
    <row r="188" spans="3:8" ht="15.75">
      <c r="C188" s="9">
        <f>D105</f>
        <v>-3199.075972672552</v>
      </c>
      <c r="D188" s="9">
        <f>C105</f>
        <v>-8646.975229920587</v>
      </c>
      <c r="E188" s="9">
        <f>D106</f>
        <v>-3112.0093967234716</v>
      </c>
      <c r="F188" s="9">
        <f>C106</f>
        <v>8100.377919935738</v>
      </c>
      <c r="G188" s="9">
        <f>D107</f>
        <v>6311.085369396955</v>
      </c>
      <c r="H188" s="9">
        <f>C107</f>
        <v>546.5973099850817</v>
      </c>
    </row>
    <row r="189" spans="3:8" ht="15.75">
      <c r="C189" s="2">
        <v>0</v>
      </c>
      <c r="D189" s="9">
        <f>D105</f>
        <v>-3199.075972672552</v>
      </c>
      <c r="E189" s="2">
        <v>0</v>
      </c>
      <c r="F189" s="9">
        <f>D106</f>
        <v>-3112.0093967234716</v>
      </c>
      <c r="G189" s="2">
        <v>0</v>
      </c>
      <c r="H189" s="9">
        <f>D107</f>
        <v>6311.085369396955</v>
      </c>
    </row>
    <row r="191" spans="2:8" ht="15.75">
      <c r="B191" t="s">
        <v>62</v>
      </c>
      <c r="C191">
        <f aca="true" t="array" ref="C191:H196">MMULT(C177:H182,C109:H114)</f>
        <v>5165289.256198347</v>
      </c>
      <c r="D191">
        <v>0</v>
      </c>
      <c r="E191">
        <v>16524152751.407808</v>
      </c>
      <c r="F191">
        <v>-44664128253.72203</v>
      </c>
      <c r="G191">
        <v>-16524152751.407808</v>
      </c>
      <c r="H191">
        <v>0</v>
      </c>
    </row>
    <row r="192" spans="3:8" ht="15.75">
      <c r="C192">
        <v>0</v>
      </c>
      <c r="D192">
        <v>9182736.455463728</v>
      </c>
      <c r="E192">
        <v>-79402894673.28362</v>
      </c>
      <c r="F192">
        <v>0</v>
      </c>
      <c r="G192">
        <v>-79402894673.28362</v>
      </c>
      <c r="H192">
        <v>-29376271558.058327</v>
      </c>
    </row>
    <row r="193" spans="3:8" ht="15.75">
      <c r="C193">
        <v>18903591.682419658</v>
      </c>
      <c r="D193">
        <v>0</v>
      </c>
      <c r="E193">
        <v>58828154947.51363</v>
      </c>
      <c r="F193">
        <v>153126236671.75305</v>
      </c>
      <c r="G193">
        <v>-58828154947.51363</v>
      </c>
      <c r="H193">
        <v>0</v>
      </c>
    </row>
    <row r="194" spans="3:8" ht="15.75">
      <c r="C194">
        <v>0</v>
      </c>
      <c r="D194">
        <v>22675736.961451244</v>
      </c>
      <c r="E194">
        <v>183682039000.81036</v>
      </c>
      <c r="F194">
        <v>0</v>
      </c>
      <c r="G194">
        <v>183682039000.81036</v>
      </c>
      <c r="H194">
        <v>-70567106501.66602</v>
      </c>
    </row>
    <row r="195" spans="3:8" ht="15.75">
      <c r="C195">
        <v>39062499.99999999</v>
      </c>
      <c r="D195">
        <v>0</v>
      </c>
      <c r="E195">
        <v>-246526772242.0685</v>
      </c>
      <c r="F195">
        <v>21351457421.292248</v>
      </c>
      <c r="G195">
        <v>246526772242.0685</v>
      </c>
      <c r="H195">
        <v>0</v>
      </c>
    </row>
    <row r="196" spans="3:8" ht="15.75">
      <c r="C196">
        <v>0</v>
      </c>
      <c r="D196">
        <v>39062499.99999999</v>
      </c>
      <c r="E196">
        <v>21351457421.292248</v>
      </c>
      <c r="F196">
        <v>0</v>
      </c>
      <c r="G196">
        <v>21351457421.292248</v>
      </c>
      <c r="H196">
        <v>246526772242.0685</v>
      </c>
    </row>
    <row r="198" spans="2:8" ht="15.75">
      <c r="B198" t="s">
        <v>63</v>
      </c>
      <c r="C198">
        <f aca="true" t="array" ref="C198:H203">MMULT(C184:H189,C191:H196)</f>
        <v>63131380.938618</v>
      </c>
      <c r="D198">
        <v>0</v>
      </c>
      <c r="E198">
        <v>-171174464543.14706</v>
      </c>
      <c r="F198">
        <v>129813565839.32327</v>
      </c>
      <c r="G198">
        <v>171174464543.14706</v>
      </c>
      <c r="H198">
        <v>0</v>
      </c>
    </row>
    <row r="199" spans="3:8" ht="15.75">
      <c r="C199">
        <v>0</v>
      </c>
      <c r="D199">
        <v>70920973.41691497</v>
      </c>
      <c r="E199">
        <v>125630601748.819</v>
      </c>
      <c r="F199">
        <v>0</v>
      </c>
      <c r="G199">
        <v>125630601748.819</v>
      </c>
      <c r="H199">
        <v>146583394182.34418</v>
      </c>
    </row>
    <row r="200" spans="3:8" ht="15.75">
      <c r="C200">
        <v>-171174464543.14706</v>
      </c>
      <c r="D200">
        <v>125630601748.819</v>
      </c>
      <c r="E200">
        <v>3977946742111496</v>
      </c>
      <c r="F200">
        <v>198895477323730.84</v>
      </c>
      <c r="G200">
        <v>394372149139614.9</v>
      </c>
      <c r="H200">
        <v>-182853468323078.44</v>
      </c>
    </row>
    <row r="201" spans="3:8" ht="15.75">
      <c r="C201">
        <v>129813565839.32327</v>
      </c>
      <c r="D201">
        <v>0</v>
      </c>
      <c r="E201">
        <v>198895477323730.75</v>
      </c>
      <c r="F201">
        <v>1638260646365392.2</v>
      </c>
      <c r="G201">
        <v>-198895477323730.75</v>
      </c>
      <c r="H201">
        <v>0</v>
      </c>
    </row>
    <row r="202" spans="3:8" ht="15.75">
      <c r="C202">
        <v>171174464543.14706</v>
      </c>
      <c r="D202">
        <v>125630601748.819</v>
      </c>
      <c r="E202">
        <v>394372149139614.9</v>
      </c>
      <c r="F202">
        <v>-198895477323730.84</v>
      </c>
      <c r="G202">
        <v>3977946742111496</v>
      </c>
      <c r="H202">
        <v>-182853468323078.44</v>
      </c>
    </row>
    <row r="203" spans="3:8" ht="15.75">
      <c r="C203">
        <v>0</v>
      </c>
      <c r="D203">
        <v>146583394182.34418</v>
      </c>
      <c r="E203">
        <v>-182853468323078.47</v>
      </c>
      <c r="F203">
        <v>0</v>
      </c>
      <c r="G203">
        <v>-182853468323078.47</v>
      </c>
      <c r="H203">
        <v>1869433928502433</v>
      </c>
    </row>
    <row r="205" spans="2:8" ht="15.75">
      <c r="B205" t="s">
        <v>64</v>
      </c>
      <c r="C205">
        <f aca="true" t="array" ref="C205:H210">MINVERSE(C198:H203)</f>
        <v>3.023333333333575E-08</v>
      </c>
      <c r="D205">
        <v>7.969892333535034E-24</v>
      </c>
      <c r="E205">
        <v>1.598645089678788E-12</v>
      </c>
      <c r="F205">
        <v>-2.783820372962681E-12</v>
      </c>
      <c r="G205">
        <v>-1.598645089678789E-12</v>
      </c>
      <c r="H205">
        <v>-2.2700702447406102E-27</v>
      </c>
    </row>
    <row r="206" spans="3:8" ht="15.75">
      <c r="C206">
        <v>-3.619718003067983E-24</v>
      </c>
      <c r="D206">
        <v>1.9844444444445693E-08</v>
      </c>
      <c r="E206">
        <v>-6.405075959616668E-13</v>
      </c>
      <c r="F206">
        <v>0</v>
      </c>
      <c r="G206">
        <v>-6.40507595961667E-13</v>
      </c>
      <c r="H206">
        <v>-1.681313281644261E-12</v>
      </c>
    </row>
    <row r="207" spans="3:8" ht="15.75">
      <c r="C207">
        <v>1.5986450896787895E-12</v>
      </c>
      <c r="D207">
        <v>-6.405075959616667E-13</v>
      </c>
      <c r="E207">
        <v>3.6193527480309907E-16</v>
      </c>
      <c r="F207">
        <v>-1.8154121074644251E-16</v>
      </c>
      <c r="G207">
        <v>-8.999054506052745E-17</v>
      </c>
      <c r="H207">
        <v>7.682208622173244E-17</v>
      </c>
    </row>
    <row r="208" spans="3:8" ht="15.75">
      <c r="C208">
        <v>-2.78382037296268E-12</v>
      </c>
      <c r="D208">
        <v>-6.354425616134595E-28</v>
      </c>
      <c r="E208">
        <v>-1.8154121074644222E-16</v>
      </c>
      <c r="F208">
        <v>8.750702179055944E-16</v>
      </c>
      <c r="G208">
        <v>1.8154121074644242E-16</v>
      </c>
      <c r="H208">
        <v>1.8616481297269321E-31</v>
      </c>
    </row>
    <row r="209" spans="3:8" ht="15.75">
      <c r="C209">
        <v>-1.5986450896787893E-12</v>
      </c>
      <c r="D209">
        <v>-6.405075959616673E-13</v>
      </c>
      <c r="E209">
        <v>-8.999054506052737E-17</v>
      </c>
      <c r="F209">
        <v>1.8154121074644251E-16</v>
      </c>
      <c r="G209">
        <v>3.6193527480309917E-16</v>
      </c>
      <c r="H209">
        <v>7.682208622173265E-17</v>
      </c>
    </row>
    <row r="210" spans="3:8" ht="15.75">
      <c r="C210">
        <v>0</v>
      </c>
      <c r="D210">
        <v>-1.681313281644261E-12</v>
      </c>
      <c r="E210">
        <v>7.682208622173259E-17</v>
      </c>
      <c r="F210">
        <v>0</v>
      </c>
      <c r="G210">
        <v>7.682208622173259E-17</v>
      </c>
      <c r="H210">
        <v>6.817823074106731E-16</v>
      </c>
    </row>
    <row r="213" spans="2:8" ht="15.75">
      <c r="B213" t="s">
        <v>124</v>
      </c>
      <c r="C213" t="s">
        <v>127</v>
      </c>
      <c r="D213" t="s">
        <v>128</v>
      </c>
      <c r="E213" t="s">
        <v>125</v>
      </c>
      <c r="F213" t="s">
        <v>126</v>
      </c>
      <c r="G213" t="s">
        <v>129</v>
      </c>
      <c r="H213" t="s">
        <v>130</v>
      </c>
    </row>
    <row r="214" spans="2:8" ht="15.75">
      <c r="B214">
        <v>0</v>
      </c>
      <c r="C214">
        <f>COS(B214)</f>
        <v>1</v>
      </c>
      <c r="D214">
        <f>SIN(B214)</f>
        <v>0</v>
      </c>
      <c r="E214" s="62">
        <f aca="true" t="shared" si="2" ref="E214:E234">(1+$C$157*(10^6))*COS(B214)</f>
        <v>0.9948945380371128</v>
      </c>
      <c r="F214" s="62">
        <f aca="true" t="shared" si="3" ref="F214:F234">(1+$C$158*(10^6))*SIN(B214)</f>
        <v>0</v>
      </c>
      <c r="G214">
        <f>E214*$C$161-F214*$D$161</f>
        <v>0.9589537093452282</v>
      </c>
      <c r="H214">
        <f>E214*$D$161+F214*$C$161</f>
        <v>-0.26499608515807865</v>
      </c>
    </row>
    <row r="215" spans="2:8" ht="15.75">
      <c r="B215">
        <f>B214+2*PI()/20</f>
        <v>0.3141592653589793</v>
      </c>
      <c r="C215">
        <f aca="true" t="shared" si="4" ref="C215:C234">COS(B215)</f>
        <v>0.9510565162951535</v>
      </c>
      <c r="D215">
        <f aca="true" t="shared" si="5" ref="D215:D234">SIN(B215)</f>
        <v>0.3090169943749474</v>
      </c>
      <c r="E215" s="62">
        <f t="shared" si="2"/>
        <v>0.9462009334266526</v>
      </c>
      <c r="F215" s="62">
        <f t="shared" si="3"/>
        <v>0.2984053211090797</v>
      </c>
      <c r="G215">
        <f aca="true" t="shared" si="6" ref="G215:G234">E215*$C$161-F215*$D$161</f>
        <v>0.9915012084857319</v>
      </c>
      <c r="H215">
        <f aca="true" t="shared" si="7" ref="H215:H234">E215*$D$161+F215*$C$161</f>
        <v>0.03559909626682661</v>
      </c>
    </row>
    <row r="216" spans="2:8" ht="15.75">
      <c r="B216">
        <f aca="true" t="shared" si="8" ref="B216:B234">B215+2*PI()/20</f>
        <v>0.6283185307179586</v>
      </c>
      <c r="C216">
        <f t="shared" si="4"/>
        <v>0.8090169943749475</v>
      </c>
      <c r="D216">
        <f t="shared" si="5"/>
        <v>0.5877852522924731</v>
      </c>
      <c r="E216" s="62">
        <f t="shared" si="2"/>
        <v>0.8048865888828368</v>
      </c>
      <c r="F216" s="62">
        <f t="shared" si="3"/>
        <v>0.567600650275876</v>
      </c>
      <c r="G216">
        <f t="shared" si="6"/>
        <v>0.9269936611445219</v>
      </c>
      <c r="H216">
        <f t="shared" si="7"/>
        <v>0.3327095901156465</v>
      </c>
    </row>
    <row r="217" spans="2:8" ht="15.75">
      <c r="B217">
        <f t="shared" si="8"/>
        <v>0.9424777960769379</v>
      </c>
      <c r="C217">
        <f t="shared" si="4"/>
        <v>0.5877852522924731</v>
      </c>
      <c r="D217">
        <f t="shared" si="5"/>
        <v>0.8090169943749475</v>
      </c>
      <c r="E217" s="62">
        <f t="shared" si="2"/>
        <v>0.5847843370445479</v>
      </c>
      <c r="F217" s="62">
        <f t="shared" si="3"/>
        <v>0.7812352730873973</v>
      </c>
      <c r="G217">
        <f t="shared" si="6"/>
        <v>0.7717455155058661</v>
      </c>
      <c r="H217">
        <f t="shared" si="7"/>
        <v>0.5972521511599238</v>
      </c>
    </row>
    <row r="218" spans="2:8" ht="15.75">
      <c r="B218">
        <f t="shared" si="8"/>
        <v>1.2566370614359172</v>
      </c>
      <c r="C218">
        <f t="shared" si="4"/>
        <v>0.30901699437494745</v>
      </c>
      <c r="D218">
        <f t="shared" si="5"/>
        <v>0.9510565162951535</v>
      </c>
      <c r="E218" s="62">
        <f t="shared" si="2"/>
        <v>0.3074393198642804</v>
      </c>
      <c r="F218" s="62">
        <f t="shared" si="3"/>
        <v>0.9183971441829097</v>
      </c>
      <c r="G218">
        <f t="shared" si="6"/>
        <v>0.5409535417423108</v>
      </c>
      <c r="H218">
        <f t="shared" si="7"/>
        <v>0.8033315103482407</v>
      </c>
    </row>
    <row r="219" spans="2:8" ht="15.75">
      <c r="B219">
        <f t="shared" si="8"/>
        <v>1.5707963267948966</v>
      </c>
      <c r="C219">
        <f t="shared" si="4"/>
        <v>6.1257422745431E-17</v>
      </c>
      <c r="D219">
        <f t="shared" si="5"/>
        <v>1</v>
      </c>
      <c r="E219" s="62">
        <f t="shared" si="2"/>
        <v>6.09446753036597E-17</v>
      </c>
      <c r="F219" s="62">
        <f t="shared" si="3"/>
        <v>0.9656599039566349</v>
      </c>
      <c r="G219">
        <f t="shared" si="6"/>
        <v>0.2572092662680683</v>
      </c>
      <c r="H219">
        <f t="shared" si="7"/>
        <v>0.93077518416392</v>
      </c>
    </row>
    <row r="220" spans="2:8" ht="15.75">
      <c r="B220">
        <f t="shared" si="8"/>
        <v>1.8849555921538759</v>
      </c>
      <c r="C220">
        <f t="shared" si="4"/>
        <v>-0.30901699437494734</v>
      </c>
      <c r="D220">
        <f t="shared" si="5"/>
        <v>0.9510565162951536</v>
      </c>
      <c r="E220" s="62">
        <f t="shared" si="2"/>
        <v>-0.3074393198642803</v>
      </c>
      <c r="F220" s="62">
        <f t="shared" si="3"/>
        <v>0.9183971441829099</v>
      </c>
      <c r="G220">
        <f t="shared" si="6"/>
        <v>-0.05171244427082772</v>
      </c>
      <c r="H220">
        <f t="shared" si="7"/>
        <v>0.9671080978615949</v>
      </c>
    </row>
    <row r="221" spans="2:8" ht="15.75">
      <c r="B221">
        <f t="shared" si="8"/>
        <v>2.199114857512855</v>
      </c>
      <c r="C221">
        <f t="shared" si="4"/>
        <v>-0.587785252292473</v>
      </c>
      <c r="D221">
        <f t="shared" si="5"/>
        <v>0.8090169943749475</v>
      </c>
      <c r="E221" s="62">
        <f t="shared" si="2"/>
        <v>-0.5847843370445478</v>
      </c>
      <c r="F221" s="62">
        <f t="shared" si="3"/>
        <v>0.7812352730873973</v>
      </c>
      <c r="G221">
        <f t="shared" si="6"/>
        <v>-0.3555721804627098</v>
      </c>
      <c r="H221">
        <f t="shared" si="7"/>
        <v>0.9087737327022417</v>
      </c>
    </row>
    <row r="222" spans="2:8" ht="15.75">
      <c r="B222">
        <f t="shared" si="8"/>
        <v>2.5132741228718345</v>
      </c>
      <c r="C222">
        <f t="shared" si="4"/>
        <v>-0.8090169943749473</v>
      </c>
      <c r="D222">
        <f t="shared" si="5"/>
        <v>0.5877852522924732</v>
      </c>
      <c r="E222" s="62">
        <f t="shared" si="2"/>
        <v>-0.8048865888828367</v>
      </c>
      <c r="F222" s="62">
        <f t="shared" si="3"/>
        <v>0.5676006502758761</v>
      </c>
      <c r="G222">
        <f t="shared" si="6"/>
        <v>-0.624626034213845</v>
      </c>
      <c r="H222">
        <f t="shared" si="7"/>
        <v>0.7614822627870793</v>
      </c>
    </row>
    <row r="223" spans="2:8" ht="15.75">
      <c r="B223">
        <f t="shared" si="8"/>
        <v>2.827433388230814</v>
      </c>
      <c r="C223">
        <f t="shared" si="4"/>
        <v>-0.9510565162951535</v>
      </c>
      <c r="D223">
        <f t="shared" si="5"/>
        <v>0.3090169943749475</v>
      </c>
      <c r="E223" s="62">
        <f t="shared" si="2"/>
        <v>-0.9462009334266526</v>
      </c>
      <c r="F223" s="62">
        <f t="shared" si="3"/>
        <v>0.2984053211090798</v>
      </c>
      <c r="G223">
        <f t="shared" si="6"/>
        <v>-0.8325371397106439</v>
      </c>
      <c r="H223">
        <f t="shared" si="7"/>
        <v>0.5396516034314189</v>
      </c>
    </row>
    <row r="224" spans="2:8" ht="15.75">
      <c r="B224">
        <f t="shared" si="8"/>
        <v>3.141592653589793</v>
      </c>
      <c r="C224">
        <f t="shared" si="4"/>
        <v>-1</v>
      </c>
      <c r="D224">
        <f t="shared" si="5"/>
        <v>1.22514845490862E-16</v>
      </c>
      <c r="E224" s="62">
        <f t="shared" si="2"/>
        <v>-0.9948945380371128</v>
      </c>
      <c r="F224" s="62">
        <f t="shared" si="3"/>
        <v>1.1830767392996776E-16</v>
      </c>
      <c r="G224">
        <f t="shared" si="6"/>
        <v>-0.9589537093452282</v>
      </c>
      <c r="H224">
        <f t="shared" si="7"/>
        <v>0.26499608515807876</v>
      </c>
    </row>
    <row r="225" spans="2:8" ht="15.75">
      <c r="B225">
        <f t="shared" si="8"/>
        <v>3.4557519189487724</v>
      </c>
      <c r="C225">
        <f t="shared" si="4"/>
        <v>-0.9510565162951536</v>
      </c>
      <c r="D225">
        <f t="shared" si="5"/>
        <v>-0.3090169943749473</v>
      </c>
      <c r="E225" s="62">
        <f t="shared" si="2"/>
        <v>-0.9462009334266527</v>
      </c>
      <c r="F225" s="62">
        <f t="shared" si="3"/>
        <v>-0.2984053211090796</v>
      </c>
      <c r="G225">
        <f t="shared" si="6"/>
        <v>-0.991501208485732</v>
      </c>
      <c r="H225">
        <f t="shared" si="7"/>
        <v>-0.03559909626682645</v>
      </c>
    </row>
    <row r="226" spans="2:8" ht="15.75">
      <c r="B226">
        <f t="shared" si="8"/>
        <v>3.7699111843077517</v>
      </c>
      <c r="C226">
        <f t="shared" si="4"/>
        <v>-0.8090169943749476</v>
      </c>
      <c r="D226">
        <f t="shared" si="5"/>
        <v>-0.587785252292473</v>
      </c>
      <c r="E226" s="62">
        <f t="shared" si="2"/>
        <v>-0.8048865888828369</v>
      </c>
      <c r="F226" s="62">
        <f t="shared" si="3"/>
        <v>-0.5676006502758759</v>
      </c>
      <c r="G226">
        <f t="shared" si="6"/>
        <v>-0.926993661144522</v>
      </c>
      <c r="H226">
        <f t="shared" si="7"/>
        <v>-0.3327095901156463</v>
      </c>
    </row>
    <row r="227" spans="2:8" ht="15.75">
      <c r="B227">
        <f t="shared" si="8"/>
        <v>4.084070449666731</v>
      </c>
      <c r="C227">
        <f t="shared" si="4"/>
        <v>-0.5877852522924732</v>
      </c>
      <c r="D227">
        <f t="shared" si="5"/>
        <v>-0.8090169943749473</v>
      </c>
      <c r="E227" s="62">
        <f t="shared" si="2"/>
        <v>-0.584784337044548</v>
      </c>
      <c r="F227" s="62">
        <f t="shared" si="3"/>
        <v>-0.7812352730873972</v>
      </c>
      <c r="G227">
        <f t="shared" si="6"/>
        <v>-0.7717455155058661</v>
      </c>
      <c r="H227">
        <f t="shared" si="7"/>
        <v>-0.5972521511599237</v>
      </c>
    </row>
    <row r="228" spans="2:8" ht="15.75">
      <c r="B228">
        <f t="shared" si="8"/>
        <v>4.39822971502571</v>
      </c>
      <c r="C228">
        <f t="shared" si="4"/>
        <v>-0.30901699437494756</v>
      </c>
      <c r="D228">
        <f t="shared" si="5"/>
        <v>-0.9510565162951535</v>
      </c>
      <c r="E228" s="62">
        <f t="shared" si="2"/>
        <v>-0.3074393198642805</v>
      </c>
      <c r="F228" s="62">
        <f t="shared" si="3"/>
        <v>-0.9183971441829097</v>
      </c>
      <c r="G228">
        <f t="shared" si="6"/>
        <v>-0.5409535417423109</v>
      </c>
      <c r="H228">
        <f t="shared" si="7"/>
        <v>-0.8033315103482406</v>
      </c>
    </row>
    <row r="229" spans="2:8" ht="15.75">
      <c r="B229">
        <f t="shared" si="8"/>
        <v>4.71238898038469</v>
      </c>
      <c r="C229">
        <f t="shared" si="4"/>
        <v>-1.83772268236293E-16</v>
      </c>
      <c r="D229">
        <f t="shared" si="5"/>
        <v>-1</v>
      </c>
      <c r="E229" s="62">
        <f t="shared" si="2"/>
        <v>-1.828340259109791E-16</v>
      </c>
      <c r="F229" s="62">
        <f t="shared" si="3"/>
        <v>-0.9656599039566349</v>
      </c>
      <c r="G229">
        <f t="shared" si="6"/>
        <v>-0.2572092662680684</v>
      </c>
      <c r="H229">
        <f t="shared" si="7"/>
        <v>-0.93077518416392</v>
      </c>
    </row>
    <row r="230" spans="2:8" ht="15.75">
      <c r="B230">
        <f t="shared" si="8"/>
        <v>5.026548245743669</v>
      </c>
      <c r="C230">
        <f t="shared" si="4"/>
        <v>0.30901699437494723</v>
      </c>
      <c r="D230">
        <f t="shared" si="5"/>
        <v>-0.9510565162951536</v>
      </c>
      <c r="E230" s="62">
        <f t="shared" si="2"/>
        <v>0.3074393198642802</v>
      </c>
      <c r="F230" s="62">
        <f t="shared" si="3"/>
        <v>-0.9183971441829099</v>
      </c>
      <c r="G230">
        <f t="shared" si="6"/>
        <v>0.05171244427082761</v>
      </c>
      <c r="H230">
        <f t="shared" si="7"/>
        <v>-0.9671080978615949</v>
      </c>
    </row>
    <row r="231" spans="2:8" ht="15.75">
      <c r="B231">
        <f t="shared" si="8"/>
        <v>5.340707511102648</v>
      </c>
      <c r="C231">
        <f t="shared" si="4"/>
        <v>0.5877852522924729</v>
      </c>
      <c r="D231">
        <f t="shared" si="5"/>
        <v>-0.8090169943749476</v>
      </c>
      <c r="E231" s="62">
        <f t="shared" si="2"/>
        <v>0.5847843370445477</v>
      </c>
      <c r="F231" s="62">
        <f t="shared" si="3"/>
        <v>-0.7812352730873974</v>
      </c>
      <c r="G231">
        <f t="shared" si="6"/>
        <v>0.35557218046270966</v>
      </c>
      <c r="H231">
        <f t="shared" si="7"/>
        <v>-0.9087737327022418</v>
      </c>
    </row>
    <row r="232" spans="2:8" ht="15.75">
      <c r="B232">
        <f t="shared" si="8"/>
        <v>5.654866776461628</v>
      </c>
      <c r="C232">
        <f t="shared" si="4"/>
        <v>0.8090169943749473</v>
      </c>
      <c r="D232">
        <f t="shared" si="5"/>
        <v>-0.5877852522924734</v>
      </c>
      <c r="E232" s="62">
        <f t="shared" si="2"/>
        <v>0.8048865888828367</v>
      </c>
      <c r="F232" s="62">
        <f t="shared" si="3"/>
        <v>-0.5676006502758763</v>
      </c>
      <c r="G232">
        <f t="shared" si="6"/>
        <v>0.624626034213845</v>
      </c>
      <c r="H232">
        <f t="shared" si="7"/>
        <v>-0.7614822627870794</v>
      </c>
    </row>
    <row r="233" spans="2:8" ht="15.75">
      <c r="B233">
        <f t="shared" si="8"/>
        <v>5.969026041820607</v>
      </c>
      <c r="C233">
        <f t="shared" si="4"/>
        <v>0.9510565162951535</v>
      </c>
      <c r="D233">
        <f t="shared" si="5"/>
        <v>-0.3090169943749476</v>
      </c>
      <c r="E233" s="62">
        <f t="shared" si="2"/>
        <v>0.9462009334266526</v>
      </c>
      <c r="F233" s="62">
        <f t="shared" si="3"/>
        <v>-0.2984053211090799</v>
      </c>
      <c r="G233">
        <f t="shared" si="6"/>
        <v>0.8325371397106438</v>
      </c>
      <c r="H233">
        <f t="shared" si="7"/>
        <v>-0.5396516034314189</v>
      </c>
    </row>
    <row r="234" spans="2:8" ht="15.75">
      <c r="B234">
        <f t="shared" si="8"/>
        <v>6.283185307179586</v>
      </c>
      <c r="C234">
        <f t="shared" si="4"/>
        <v>1</v>
      </c>
      <c r="D234">
        <f t="shared" si="5"/>
        <v>-2.45029690981724E-16</v>
      </c>
      <c r="E234" s="62">
        <f t="shared" si="2"/>
        <v>0.9948945380371128</v>
      </c>
      <c r="F234" s="62">
        <f t="shared" si="3"/>
        <v>-2.366153478599355E-16</v>
      </c>
      <c r="G234">
        <f t="shared" si="6"/>
        <v>0.9589537093452281</v>
      </c>
      <c r="H234">
        <f t="shared" si="7"/>
        <v>-0.2649960851580789</v>
      </c>
    </row>
  </sheetData>
  <sheetProtection sheet="1" objects="1" scenarios="1"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Baylor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 Cronin</dc:creator>
  <cp:keywords/>
  <dc:description/>
  <cp:lastModifiedBy>Vince Cronin</cp:lastModifiedBy>
  <dcterms:created xsi:type="dcterms:W3CDTF">2012-09-10T19:20:49Z</dcterms:created>
  <dcterms:modified xsi:type="dcterms:W3CDTF">2020-12-27T18:38:15Z</dcterms:modified>
  <cp:category/>
  <cp:version/>
  <cp:contentType/>
  <cp:contentStatus/>
</cp:coreProperties>
</file>