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00" windowWidth="24440" windowHeight="2312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<sst xmlns="http://schemas.openxmlformats.org/spreadsheetml/2006/main" count="165" uniqueCount="134">
  <si>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</si>
  <si>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</si>
  <si>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</si>
  <si>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</si>
  <si>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</si>
  <si>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</si>
  <si>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</si>
  <si>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</si>
  <si>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</si>
  <si>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</si>
  <si>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</si>
  <si>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</si>
  <si>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</si>
  <si>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</si>
  <si>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</si>
  <si>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</si>
  <si>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</si>
  <si>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</si>
  <si>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</si>
  <si>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</si>
  <si>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</si>
  <si>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</si>
  <si>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</si>
  <si>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</si>
  <si>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</si>
  <si>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</si>
  <si>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</si>
  <si>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</si>
  <si>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</si>
  <si>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</si>
  <si>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</si>
  <si>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</si>
  <si>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</si>
  <si>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</si>
  <si>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</si>
  <si>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</si>
  <si>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</si>
  <si>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</si>
  <si>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</si>
  <si>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</si>
  <si>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</si>
  <si>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</si>
  <si>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</si>
  <si>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</si>
  <si>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</si>
  <si>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</si>
  <si>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</si>
  <si>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</si>
  <si>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</si>
  <si>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</si>
  <si>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</si>
  <si>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</si>
  <si>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</si>
  <si>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</si>
  <si>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</si>
  <si>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</si>
  <si>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</si>
  <si>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</si>
  <si>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</si>
  <si>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</si>
  <si>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</si>
  <si>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</si>
  <si>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</si>
  <si>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</si>
  <si>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</si>
  <si>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</si>
  <si>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</si>
  <si>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</si>
  <si>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</si>
  <si>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</si>
  <si>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</si>
  <si>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</si>
  <si>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</si>
  <si>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</si>
  <si>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</si>
  <si>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</si>
  <si>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</si>
  <si>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</si>
  <si>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</si>
  <si>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</si>
  <si>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</si>
  <si>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</si>
  <si>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</si>
  <si>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</si>
  <si>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</si>
  <si>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</si>
  <si>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</si>
  <si>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</si>
  <si>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</si>
  <si>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</si>
  <si>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</si>
  <si>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</si>
  <si>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</si>
  <si>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</si>
  <si>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</si>
  <si>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</si>
  <si>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</si>
  <si>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</si>
  <si>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</si>
  <si>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</si>
  <si>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</si>
  <si>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</si>
  <si>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</si>
  <si>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</si>
  <si>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</si>
  <si>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</si>
  <si>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</si>
  <si>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</si>
  <si>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</si>
  <si>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</si>
  <si>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</si>
  <si>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</si>
  <si>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</si>
  <si>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</si>
  <si>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</si>
  <si>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</si>
  <si>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</si>
  <si>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</si>
  <si>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</si>
  <si>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</si>
  <si>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</si>
  <si>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</si>
  <si>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</si>
  <si>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</si>
  <si>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</si>
  <si>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</si>
  <si>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</si>
  <si>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</si>
  <si>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</si>
  <si>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</si>
  <si>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</si>
  <si>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GIRL</t>
  </si>
  <si>
    <t>P149</t>
  </si>
  <si>
    <t>VRDE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</si>
</sst>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3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13065345"/>
        <c:axId val="50479242"/>
      </c:scatterChart>
      <c:valAx>
        <c:axId val="1306534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crossBetween val="midCat"/>
        <c:dispUnits/>
      </c:valAx>
      <c:valAx>
        <c:axId val="5047924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G38" sqref="G38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-120.005</v>
      </c>
      <c r="D11" s="64">
        <v>39.628</v>
      </c>
      <c r="E11" s="65">
        <v>-7.73</v>
      </c>
      <c r="F11" s="65">
        <v>0.48</v>
      </c>
      <c r="G11" s="65">
        <v>7.4</v>
      </c>
      <c r="H11" s="65">
        <v>0.51</v>
      </c>
    </row>
    <row r="12" spans="2:8" ht="15.75">
      <c r="B12" s="63" t="s">
        <v>132</v>
      </c>
      <c r="C12" s="64">
        <v>-120.105</v>
      </c>
      <c r="D12" s="64">
        <v>39.602</v>
      </c>
      <c r="E12" s="65">
        <v>-8.22</v>
      </c>
      <c r="F12" s="65">
        <v>0.27</v>
      </c>
      <c r="G12" s="65">
        <v>7.43</v>
      </c>
      <c r="H12" s="65">
        <v>0.2</v>
      </c>
    </row>
    <row r="13" spans="2:8" ht="15.75">
      <c r="B13" s="63" t="s">
        <v>133</v>
      </c>
      <c r="C13" s="64">
        <v>-119.962</v>
      </c>
      <c r="D13" s="64">
        <v>39.524</v>
      </c>
      <c r="E13" s="65">
        <v>-8.29</v>
      </c>
      <c r="F13" s="65">
        <v>0.53</v>
      </c>
      <c r="G13" s="65">
        <v>6.55</v>
      </c>
      <c r="H13" s="65">
        <v>0.43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-0.008080000000000039</v>
      </c>
      <c r="D17" s="21" t="s">
        <v>78</v>
      </c>
      <c r="E17" s="22">
        <f>SQRT(C205)</f>
        <v>0.00025477659058695094</v>
      </c>
    </row>
    <row r="18" spans="1:5" ht="15.75">
      <c r="A18" s="15"/>
      <c r="B18" s="19" t="s">
        <v>75</v>
      </c>
      <c r="C18" s="20">
        <f>C131</f>
        <v>0.007126666666666625</v>
      </c>
      <c r="D18" s="21" t="s">
        <v>78</v>
      </c>
      <c r="E18" s="22">
        <f>SQRT(D206)</f>
        <v>0.000232139804619724</v>
      </c>
    </row>
    <row r="19" spans="1:5" ht="15.75">
      <c r="A19" s="15"/>
      <c r="B19" s="19" t="s">
        <v>13</v>
      </c>
      <c r="C19" s="23">
        <f>C149</f>
        <v>311.4127190802901</v>
      </c>
      <c r="D19" s="21"/>
      <c r="E19" s="22"/>
    </row>
    <row r="20" spans="1:5" ht="15.75">
      <c r="A20" s="15"/>
      <c r="B20" s="19" t="s">
        <v>14</v>
      </c>
      <c r="C20" s="20">
        <f>C143</f>
        <v>0.010773846934952149</v>
      </c>
      <c r="D20" s="21"/>
      <c r="E20" s="22"/>
    </row>
    <row r="21" spans="1:5" ht="15.75">
      <c r="A21" s="15"/>
      <c r="B21" s="24" t="s">
        <v>76</v>
      </c>
      <c r="C21" s="25">
        <f>C132*(180/PI())</f>
        <v>-2.5518759667794274E-06</v>
      </c>
      <c r="D21" s="21" t="s">
        <v>78</v>
      </c>
      <c r="E21" s="26">
        <f>SQRT(E207)*(180/PI())</f>
        <v>2.370029972376614E-06</v>
      </c>
    </row>
    <row r="22" spans="1:5" ht="15.75">
      <c r="A22" s="15"/>
      <c r="B22" s="19" t="s">
        <v>77</v>
      </c>
      <c r="C22" s="20">
        <f>C132*(10^9)</f>
        <v>-44.53863772281445</v>
      </c>
      <c r="D22" s="21" t="s">
        <v>78</v>
      </c>
      <c r="E22" s="27">
        <f>SQRT(E207)*(10^9)</f>
        <v>41.364826388922175</v>
      </c>
    </row>
    <row r="23" spans="1:5" ht="15.75">
      <c r="A23" s="15"/>
      <c r="B23" s="19" t="s">
        <v>16</v>
      </c>
      <c r="C23" s="21" t="str">
        <f>IF((C22&lt;0),"clockwise","anti-clockwise")</f>
        <v>clockwise</v>
      </c>
      <c r="D23" s="20"/>
      <c r="E23" s="27"/>
    </row>
    <row r="24" spans="1:5" ht="15.75">
      <c r="A24" s="15"/>
      <c r="B24" s="24" t="s">
        <v>117</v>
      </c>
      <c r="C24" s="20">
        <f>C157*(10^9)</f>
        <v>72.20433472712429</v>
      </c>
      <c r="D24" s="21"/>
      <c r="E24" s="22"/>
    </row>
    <row r="25" spans="1:5" ht="15.75">
      <c r="A25" s="15"/>
      <c r="B25" s="19" t="s">
        <v>19</v>
      </c>
      <c r="C25" s="20">
        <f>C165</f>
        <v>24.328811215462128</v>
      </c>
      <c r="D25" s="21" t="s">
        <v>79</v>
      </c>
      <c r="E25" s="22">
        <f>C166</f>
        <v>204.32881121546214</v>
      </c>
    </row>
    <row r="26" spans="1:5" ht="15.75">
      <c r="A26" s="15"/>
      <c r="B26" s="24" t="s">
        <v>118</v>
      </c>
      <c r="C26" s="20">
        <f>C158*(10^9)</f>
        <v>27.126435496846494</v>
      </c>
      <c r="D26" s="21"/>
      <c r="E26" s="22"/>
    </row>
    <row r="27" spans="1:5" ht="15.75">
      <c r="A27" s="15"/>
      <c r="B27" s="19" t="s">
        <v>18</v>
      </c>
      <c r="C27" s="20">
        <f>C168</f>
        <v>114.32881121546214</v>
      </c>
      <c r="D27" s="21" t="s">
        <v>79</v>
      </c>
      <c r="E27" s="22">
        <f>C169</f>
        <v>294.3288112154621</v>
      </c>
    </row>
    <row r="28" spans="1:5" ht="15.75">
      <c r="A28" s="15"/>
      <c r="B28" s="24" t="s">
        <v>17</v>
      </c>
      <c r="C28" s="20">
        <f>C171*(10^9)</f>
        <v>45.077899230277794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99.33077022397077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34.777120937753175</v>
      </c>
      <c r="D33" s="20" t="s">
        <v>78</v>
      </c>
      <c r="E33" s="38">
        <f>SQRT(F208)*(10^9)</f>
        <v>48.163309704029516</v>
      </c>
    </row>
    <row r="34" spans="1:5" ht="15.75">
      <c r="A34" s="37"/>
      <c r="B34" s="19" t="s">
        <v>66</v>
      </c>
      <c r="C34" s="20">
        <f>C134*(10^9)</f>
        <v>16.92169730352258</v>
      </c>
      <c r="D34" s="20" t="s">
        <v>78</v>
      </c>
      <c r="E34" s="38">
        <f>SQRT(G209)*(10^9)</f>
        <v>41.36482638892217</v>
      </c>
    </row>
    <row r="35" spans="1:5" ht="15.75">
      <c r="A35" s="37"/>
      <c r="B35" s="19" t="s">
        <v>67</v>
      </c>
      <c r="C35" s="20">
        <f>C135*(10^9)</f>
        <v>64.5536492862176</v>
      </c>
      <c r="D35" s="20" t="s">
        <v>78</v>
      </c>
      <c r="E35" s="38">
        <f>SQRT(H210)*(10^9)</f>
        <v>67.54501330835052</v>
      </c>
    </row>
    <row r="36" spans="1:5" ht="34.5" customHeight="1">
      <c r="A36" s="37"/>
      <c r="B36" s="55" t="s">
        <v>119</v>
      </c>
      <c r="C36" s="56">
        <f>C173*(10^9)</f>
        <v>99.33077022397077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1.95864622856805E-06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1.95864622856805E-06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GIRL</v>
      </c>
      <c r="D41" t="str">
        <f>B12</f>
        <v>P149</v>
      </c>
      <c r="E41" t="str">
        <f>B13</f>
        <v>VRDE</v>
      </c>
    </row>
    <row r="42" spans="1:5" s="42" customFormat="1" ht="15.75">
      <c r="A42" s="41"/>
      <c r="B42" s="44" t="s">
        <v>80</v>
      </c>
      <c r="C42" s="42">
        <f>D11*(PI()/180)</f>
        <v>0.6916390759803129</v>
      </c>
      <c r="D42" s="42">
        <f>D12*(PI()/180)</f>
        <v>0.6911852903747944</v>
      </c>
      <c r="E42" s="42">
        <f>D13*(PI()/180)</f>
        <v>0.6898239335582388</v>
      </c>
    </row>
    <row r="43" spans="1:5" s="42" customFormat="1" ht="15.75">
      <c r="A43" s="41"/>
      <c r="B43" s="44" t="s">
        <v>81</v>
      </c>
      <c r="C43" s="42">
        <f>C11*(PI()/180)</f>
        <v>-2.094482368855795</v>
      </c>
      <c r="D43" s="42">
        <f>C12*(PI()/180)</f>
        <v>-2.0962276981077896</v>
      </c>
      <c r="E43" s="42">
        <f>C13*(PI()/180)</f>
        <v>-2.093731877277438</v>
      </c>
    </row>
    <row r="44" spans="1:5" s="42" customFormat="1" ht="15.75">
      <c r="A44" s="41"/>
      <c r="B44" s="44"/>
      <c r="C44" s="42">
        <f>(C11+180)/6</f>
        <v>9.999166666666667</v>
      </c>
      <c r="D44" s="42">
        <f>(C12+180)/6</f>
        <v>9.9825</v>
      </c>
      <c r="E44" s="42">
        <f>(C13+180)/6</f>
        <v>10.006333333333332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11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-117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-2.0420352248333655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-123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-2.1467549799530254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9.5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10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6361406.731200908</v>
      </c>
      <c r="D60" s="42">
        <f>(D53*(1-(D57^2)))/((1-((D57^2)*((SIN(D42))^2)))^(3/2))</f>
        <v>6361378.17700278</v>
      </c>
      <c r="E60" s="42">
        <f>(E53*(1-(E57^2)))/((1-((E57^2)*((SIN(E42))^2)))^(3/2))</f>
        <v>6361292.545430813</v>
      </c>
    </row>
    <row r="61" spans="1:5" s="42" customFormat="1" ht="15.75">
      <c r="A61" s="41"/>
      <c r="B61" s="44" t="s">
        <v>93</v>
      </c>
      <c r="C61" s="42">
        <f>C53/SQRT(1-((C57^2)*((SIN(C42))^2)))</f>
        <v>6386839.258382226</v>
      </c>
      <c r="D61" s="42">
        <f>D53/SQRT(1-((D57^2)*((SIN(D42))^2)))</f>
        <v>6386829.702249222</v>
      </c>
      <c r="E61" s="42">
        <f>E53/SQRT(1-((E57^2)*((SIN(E42))^2)))</f>
        <v>6386801.044060901</v>
      </c>
    </row>
    <row r="62" spans="1:5" s="42" customFormat="1" ht="15.75">
      <c r="A62" s="41"/>
      <c r="B62" s="44" t="s">
        <v>94</v>
      </c>
      <c r="C62" s="42">
        <f>C43-C47</f>
        <v>0.05227261109723047</v>
      </c>
      <c r="D62" s="42">
        <f>D43-D47</f>
        <v>0.050527281845235805</v>
      </c>
      <c r="E62" s="42">
        <f>E43-E47</f>
        <v>-0.05169665244407229</v>
      </c>
    </row>
    <row r="63" spans="1:5" s="42" customFormat="1" ht="15.75">
      <c r="A63" s="41"/>
      <c r="B63" s="44" t="s">
        <v>110</v>
      </c>
      <c r="C63" s="42">
        <f>IF((C48=177),(ABS(C43)-C49),(C43-C49))</f>
        <v>0.15699236621688994</v>
      </c>
      <c r="D63" s="42">
        <f>IF((D48=177),(ABS(D43)-D49),(D43-D49))</f>
        <v>0.15524703696489528</v>
      </c>
      <c r="E63" s="42">
        <f>IF((E48=177),(ABS(E43)-E49),(E43-E49))</f>
        <v>0.05302310267558763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0.6904800953107292</v>
      </c>
      <c r="D65" s="42">
        <f>D42*(1-((D57^2)/4)-((3*(D57^4))/64)-((5*(D57^6))/256))</f>
        <v>0.6900270701144517</v>
      </c>
      <c r="E65" s="42">
        <f>E42*(1-((E57^2)/4)-((3*(E57^4))/64)-((5*(E57^6))/256))</f>
        <v>0.6886679945256197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0.0024705258100722986</v>
      </c>
      <c r="D66" s="42">
        <f>SIN(2*D42)*(((3*(D57^2))/8)+((3*(D57^4))/32)+((45*(D57^6))/1024))</f>
        <v>0.002470099345108196</v>
      </c>
      <c r="E66" s="42">
        <f>SIN(2*E42)*(((3*(E57^2))/8)+((3*(E57^4))/32)+((45*(E57^6))/1024))</f>
        <v>0.002468807744120066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9.66699531777061E-07</v>
      </c>
      <c r="D67" s="42">
        <f>SIN(4*D42)*(((15*(D57^4))/256)+((45*(D57^6))/1024))</f>
        <v>9.71155232917136E-07</v>
      </c>
      <c r="E67" s="42">
        <f>SIN(4*E42)*(((15*(E57^4))/256)+((45*(E57^6))/1024))</f>
        <v>9.845030794381855E-07</v>
      </c>
    </row>
    <row r="68" spans="1:5" s="42" customFormat="1" ht="15.75">
      <c r="A68" s="41"/>
      <c r="B68" s="44" t="s">
        <v>99</v>
      </c>
      <c r="C68" s="42">
        <f>SIN(6*C42)*((35*(C57^6))/3072)</f>
        <v>-2.8913095286212117E-09</v>
      </c>
      <c r="D68" s="42">
        <f>SIN(6*D42)*((35*(D57^6))/3072)</f>
        <v>-2.8863352816120413E-09</v>
      </c>
      <c r="E68" s="42">
        <f>SIN(6*E42)*((35*(E57^6))/3072)</f>
        <v>-2.87128430759977E-09</v>
      </c>
    </row>
    <row r="69" spans="1:5" s="42" customFormat="1" ht="15.75">
      <c r="A69" s="41"/>
      <c r="B69" s="44" t="s">
        <v>97</v>
      </c>
      <c r="C69" s="42">
        <f>C53*(C65-C66+C67-C68)</f>
        <v>4388225.47576943</v>
      </c>
      <c r="D69" s="42">
        <f>D53*(D65-D66+D67-D68)</f>
        <v>4385338.767442434</v>
      </c>
      <c r="E69" s="42">
        <f>E53*(E65-E66+E67-E68)</f>
        <v>4376678.720189956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4386470.185579123</v>
      </c>
      <c r="D71" s="42">
        <f>D69*D56</f>
        <v>4383584.631935458</v>
      </c>
      <c r="E71" s="42">
        <f>E69*E56</f>
        <v>4374928.0487018805</v>
      </c>
    </row>
    <row r="72" spans="1:5" s="42" customFormat="1" ht="15.75">
      <c r="A72" s="41"/>
      <c r="B72" s="44" t="s">
        <v>101</v>
      </c>
      <c r="C72" s="42">
        <f>C56*C61*SIN(2*C42)/4</f>
        <v>1568091.8841873286</v>
      </c>
      <c r="D72" s="42">
        <f>D56*D61*SIN(2*D42)/4</f>
        <v>1567818.8525803948</v>
      </c>
      <c r="E72" s="42">
        <f>E56*E61*SIN(2*E42)/4</f>
        <v>1566992.0177193475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337224.16706501844</v>
      </c>
      <c r="D73" s="42">
        <f>(D56*D61*SIN(D42)*((COS(D42))^3)/24)*(5-((TAN(D42))^2)+(9*D58*((COS(D42))^2))+(4*(D58^2)*((COS(D42))^4)))</f>
        <v>337519.11545187753</v>
      </c>
      <c r="E73" s="42">
        <f>(E56*E61*SIN(E42)*((COS(E42))^3)/24)*(5-((TAN(E42))^2)+(9*E58*((COS(E42))^2))+(4*(E58^2)*((COS(E42))^4)))</f>
        <v>338401.2008269084</v>
      </c>
    </row>
    <row r="74" spans="1:5" s="42" customFormat="1" ht="15.75">
      <c r="A74" s="41"/>
      <c r="B74" s="44" t="s">
        <v>103</v>
      </c>
      <c r="C74" s="42">
        <f>C56*C61*COS(C42)</f>
        <v>4917186.452083322</v>
      </c>
      <c r="D74" s="42">
        <f>D56*D61*COS(D42)</f>
        <v>4919026.355194336</v>
      </c>
      <c r="E74" s="42">
        <f>E56*E61*COS(E42)</f>
        <v>4924539.960144151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154721.5448946381</v>
      </c>
      <c r="D75" s="42">
        <f>(D56*D61*((COS(D42))^3)/6)*(1-((TAN(D42))^2)+(D58*((COS(D42))^2)))</f>
        <v>155513.31633414092</v>
      </c>
      <c r="E75" s="42">
        <f>(E56*E61*((COS(E42))^3)/6)*(1-((TAN(E42))^2)+(E58*((COS(E42))^2)))</f>
        <v>157890.9768454324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GIRL</v>
      </c>
      <c r="D77" s="52" t="str">
        <f>B12</f>
        <v>P149</v>
      </c>
      <c r="E77" s="52" t="str">
        <f>B13</f>
        <v>VRDE</v>
      </c>
    </row>
    <row r="78" spans="1:5" s="42" customFormat="1" ht="15.75">
      <c r="A78" s="41"/>
      <c r="B78" s="44" t="s">
        <v>107</v>
      </c>
      <c r="C78" s="48">
        <f>C71+(C72*(C62^2))+(C73*(C62^4))</f>
        <v>4390757.39817806</v>
      </c>
      <c r="D78" s="48">
        <f>D71+(D72*(D62^2))+(D73*(D62^4))</f>
        <v>4387589.483099129</v>
      </c>
      <c r="E78" s="48">
        <f>E71+(E72*(E62^2))+(E73*(E62^4))</f>
        <v>4379118.320646772</v>
      </c>
    </row>
    <row r="79" spans="1:5" s="42" customFormat="1" ht="15.75">
      <c r="A79" s="41"/>
      <c r="B79" s="44" t="s">
        <v>108</v>
      </c>
      <c r="C79" s="48">
        <f>500000+(C74*C62)+(C75*(C62^3))</f>
        <v>757056.274140701</v>
      </c>
      <c r="D79" s="48">
        <f>500000+(D74*D62)+(D75*(D62^3))</f>
        <v>748565.091721015</v>
      </c>
      <c r="E79" s="48">
        <f>500000+(E74*E62)+(E75*(E62^3))</f>
        <v>245395.95476794953</v>
      </c>
    </row>
    <row r="80" spans="1:5" s="42" customFormat="1" ht="15.75">
      <c r="A80" s="41"/>
      <c r="B80" s="44" t="s">
        <v>109</v>
      </c>
      <c r="C80" s="48">
        <f>C71+(C72*(C63^2))+(C73*(C63^4))</f>
        <v>4425323.172315749</v>
      </c>
      <c r="D80" s="48">
        <f>D71+(D72*(D63^2))+(D73*(D63^4))</f>
        <v>4421567.702602773</v>
      </c>
      <c r="E80" s="48">
        <f>E71+(E72*(E63^2))+(E73*(E63^4))</f>
        <v>4379336.242304039</v>
      </c>
    </row>
    <row r="81" spans="1:5" s="42" customFormat="1" ht="15.75">
      <c r="A81" s="41"/>
      <c r="B81" s="44" t="s">
        <v>114</v>
      </c>
      <c r="C81" s="48">
        <f>500000+(C74*C63)+(C75*(C63^3))</f>
        <v>1272559.404730384</v>
      </c>
      <c r="D81" s="48">
        <f>500000+(D74*D63)+(D75*(D63^3))</f>
        <v>1264246.1519064915</v>
      </c>
      <c r="E81" s="48">
        <f>500000+(E74*E63)+(E75*(E63^3))</f>
        <v>761137.9250243203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10.333333333333334</v>
      </c>
      <c r="E83" s="48">
        <f>STDEV(C45:E45)</f>
        <v>0.5773502691896257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GIRL</v>
      </c>
      <c r="D86" s="41" t="str">
        <f>B12</f>
        <v>P149</v>
      </c>
      <c r="E86" s="41" t="str">
        <f>B13</f>
        <v>VRDE</v>
      </c>
    </row>
    <row r="87" spans="1:7" s="42" customFormat="1" ht="15.75">
      <c r="A87" s="41"/>
      <c r="B87" s="44" t="s">
        <v>105</v>
      </c>
      <c r="C87" s="48">
        <f>IF((C45=C83),C78,C80)</f>
        <v>4390757.39817806</v>
      </c>
      <c r="D87" s="48">
        <f>IF((D45=C83),D78,D80)</f>
        <v>4387589.483099129</v>
      </c>
      <c r="E87" s="48">
        <f>IF((E45=C83),E78,E80)</f>
        <v>4379336.242304039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757056.274140701</v>
      </c>
      <c r="D88" s="48">
        <f>IF((D45=C83),D79,D81)</f>
        <v>748565.091721015</v>
      </c>
      <c r="E88" s="48">
        <f>IF((E45=C83),E79,E81)</f>
        <v>761137.9250243203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755586.4302953455</v>
      </c>
      <c r="D91" s="7">
        <f>(C87+D87+E87)/3</f>
        <v>4385894.374527075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GIRL</v>
      </c>
      <c r="D95" s="8">
        <f>C88-C91</f>
        <v>1469.8438453555573</v>
      </c>
      <c r="E95" s="8">
        <f>C87-D91</f>
        <v>4863.02365098428</v>
      </c>
    </row>
    <row r="96" spans="3:5" ht="15.75">
      <c r="C96" s="53" t="str">
        <f>B12</f>
        <v>P149</v>
      </c>
      <c r="D96" s="8">
        <f>D88-C91</f>
        <v>-7021.338574330439</v>
      </c>
      <c r="E96" s="8">
        <f>D87-D91</f>
        <v>1695.108572053723</v>
      </c>
    </row>
    <row r="97" spans="3:5" ht="15.75">
      <c r="C97" s="53" t="str">
        <f>B13</f>
        <v>VRDE</v>
      </c>
      <c r="D97" s="8">
        <f>E88-C91</f>
        <v>5551.494728974765</v>
      </c>
      <c r="E97" s="8">
        <f>E87-D91</f>
        <v>-6558.13222303614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GIRL</v>
      </c>
      <c r="D101" s="60">
        <f aca="true" t="shared" si="0" ref="D101:G103">E11*0.001</f>
        <v>-0.007730000000000001</v>
      </c>
      <c r="E101" s="60">
        <f t="shared" si="0"/>
        <v>0.00048</v>
      </c>
      <c r="F101" s="61">
        <f t="shared" si="0"/>
        <v>0.0074</v>
      </c>
      <c r="G101" s="61">
        <f t="shared" si="0"/>
        <v>0.00051</v>
      </c>
    </row>
    <row r="102" spans="3:7" ht="15.75">
      <c r="C102" s="53" t="str">
        <f>B12</f>
        <v>P149</v>
      </c>
      <c r="D102" s="60">
        <f t="shared" si="0"/>
        <v>-0.008220000000000002</v>
      </c>
      <c r="E102" s="60">
        <f t="shared" si="0"/>
        <v>0.00027</v>
      </c>
      <c r="F102" s="61">
        <f t="shared" si="0"/>
        <v>0.00743</v>
      </c>
      <c r="G102" s="61">
        <f t="shared" si="0"/>
        <v>0.0002</v>
      </c>
    </row>
    <row r="103" spans="3:7" ht="15.75">
      <c r="C103" s="53" t="str">
        <f>B13</f>
        <v>VRDE</v>
      </c>
      <c r="D103" s="60">
        <f t="shared" si="0"/>
        <v>-0.008289999999999999</v>
      </c>
      <c r="E103" s="60">
        <f t="shared" si="0"/>
        <v>0.0005300000000000001</v>
      </c>
      <c r="F103" s="61">
        <f t="shared" si="0"/>
        <v>0.00655</v>
      </c>
      <c r="G103" s="61">
        <f t="shared" si="0"/>
        <v>0.00043</v>
      </c>
    </row>
    <row r="105" spans="2:4" ht="15.75">
      <c r="B105" t="s">
        <v>26</v>
      </c>
      <c r="C105" s="8">
        <f aca="true" t="shared" si="1" ref="C105:D107">D95</f>
        <v>1469.8438453555573</v>
      </c>
      <c r="D105" s="8">
        <f t="shared" si="1"/>
        <v>4863.02365098428</v>
      </c>
    </row>
    <row r="106" spans="3:4" ht="15.75">
      <c r="C106" s="8">
        <f t="shared" si="1"/>
        <v>-7021.338574330439</v>
      </c>
      <c r="D106" s="8">
        <f t="shared" si="1"/>
        <v>1695.108572053723</v>
      </c>
    </row>
    <row r="107" spans="3:4" ht="15.75">
      <c r="C107" s="8">
        <f t="shared" si="1"/>
        <v>5551.494728974765</v>
      </c>
      <c r="D107" s="8">
        <f t="shared" si="1"/>
        <v>-6558.13222303614</v>
      </c>
    </row>
    <row r="109" spans="2:8" ht="15.75">
      <c r="B109" t="s">
        <v>27</v>
      </c>
      <c r="C109">
        <v>1</v>
      </c>
      <c r="D109">
        <v>0</v>
      </c>
      <c r="E109">
        <f>(-1)*D105</f>
        <v>-4863.02365098428</v>
      </c>
      <c r="F109" s="7">
        <f>C105</f>
        <v>1469.8438453555573</v>
      </c>
      <c r="G109" s="7">
        <f>D105</f>
        <v>4863.02365098428</v>
      </c>
      <c r="H109">
        <v>0</v>
      </c>
    </row>
    <row r="110" spans="3:8" ht="15.75">
      <c r="C110">
        <v>0</v>
      </c>
      <c r="D110">
        <v>1</v>
      </c>
      <c r="E110" s="7">
        <f>C105</f>
        <v>1469.8438453555573</v>
      </c>
      <c r="F110">
        <v>0</v>
      </c>
      <c r="G110" s="7">
        <f>C105</f>
        <v>1469.8438453555573</v>
      </c>
      <c r="H110" s="7">
        <f>D105</f>
        <v>4863.02365098428</v>
      </c>
    </row>
    <row r="111" spans="3:8" ht="15.75">
      <c r="C111">
        <v>1</v>
      </c>
      <c r="D111">
        <v>0</v>
      </c>
      <c r="E111">
        <f>(-1)*D106</f>
        <v>-1695.108572053723</v>
      </c>
      <c r="F111" s="7">
        <f>C106</f>
        <v>-7021.338574330439</v>
      </c>
      <c r="G111" s="7">
        <f>D106</f>
        <v>1695.108572053723</v>
      </c>
      <c r="H111">
        <v>0</v>
      </c>
    </row>
    <row r="112" spans="3:8" ht="15.75">
      <c r="C112">
        <v>0</v>
      </c>
      <c r="D112">
        <v>1</v>
      </c>
      <c r="E112" s="7">
        <f>C106</f>
        <v>-7021.338574330439</v>
      </c>
      <c r="F112">
        <v>0</v>
      </c>
      <c r="G112" s="7">
        <f>C106</f>
        <v>-7021.338574330439</v>
      </c>
      <c r="H112" s="7">
        <f>D106</f>
        <v>1695.108572053723</v>
      </c>
    </row>
    <row r="113" spans="3:8" ht="15.75">
      <c r="C113">
        <v>1</v>
      </c>
      <c r="D113">
        <v>0</v>
      </c>
      <c r="E113">
        <f>(-1)*D107</f>
        <v>6558.13222303614</v>
      </c>
      <c r="F113" s="7">
        <f>C107</f>
        <v>5551.494728974765</v>
      </c>
      <c r="G113" s="7">
        <f>D107</f>
        <v>-6558.13222303614</v>
      </c>
      <c r="H113">
        <v>0</v>
      </c>
    </row>
    <row r="114" spans="3:8" ht="15.75">
      <c r="C114">
        <v>0</v>
      </c>
      <c r="D114">
        <v>1</v>
      </c>
      <c r="E114" s="7">
        <f>C107</f>
        <v>5551.494728974765</v>
      </c>
      <c r="F114">
        <v>0</v>
      </c>
      <c r="G114" s="7">
        <f>C107</f>
        <v>5551.494728974765</v>
      </c>
      <c r="H114" s="7">
        <f>D107</f>
        <v>-6558.13222303614</v>
      </c>
    </row>
    <row r="116" spans="2:8" ht="15.75">
      <c r="B116" t="s">
        <v>28</v>
      </c>
      <c r="C116">
        <f aca="true" t="array" ref="C116:H121">MINVERSE(C109:H114)</f>
        <v>0.33333333333326526</v>
      </c>
      <c r="D116">
        <v>0</v>
      </c>
      <c r="E116">
        <v>0.33333333333335236</v>
      </c>
      <c r="F116">
        <v>-5.551115123125783E-17</v>
      </c>
      <c r="G116">
        <v>0.33333333333338244</v>
      </c>
      <c r="H116">
        <v>0</v>
      </c>
    </row>
    <row r="117" spans="3:8" ht="15.75">
      <c r="C117">
        <v>-2.0855460634951834E-17</v>
      </c>
      <c r="D117">
        <v>0.3333333333332652</v>
      </c>
      <c r="E117">
        <v>3.469446951953614E-18</v>
      </c>
      <c r="F117">
        <v>0.33333333333335236</v>
      </c>
      <c r="G117">
        <v>2.0855460634951834E-17</v>
      </c>
      <c r="H117">
        <v>0.33333333333338244</v>
      </c>
    </row>
    <row r="118" spans="3:8" ht="15.75">
      <c r="C118">
        <v>-5.719632976360644E-05</v>
      </c>
      <c r="D118">
        <v>3.754564072764038E-05</v>
      </c>
      <c r="E118">
        <v>1.8568245063587057E-05</v>
      </c>
      <c r="F118">
        <v>-5.195711912288648E-05</v>
      </c>
      <c r="G118">
        <v>3.862808470001938E-05</v>
      </c>
      <c r="H118">
        <v>1.4411478395246087E-05</v>
      </c>
    </row>
    <row r="119" spans="3:8" ht="15.75">
      <c r="C119">
        <v>7.509128145528077E-05</v>
      </c>
      <c r="D119">
        <v>0</v>
      </c>
      <c r="E119">
        <v>-0.00010391423824577294</v>
      </c>
      <c r="F119">
        <v>0</v>
      </c>
      <c r="G119">
        <v>2.8822956790492178E-05</v>
      </c>
      <c r="H119">
        <v>0</v>
      </c>
    </row>
    <row r="120" spans="3:8" ht="15.75">
      <c r="C120">
        <v>5.719632976360644E-05</v>
      </c>
      <c r="D120">
        <v>3.754564072764038E-05</v>
      </c>
      <c r="E120">
        <v>-1.856824506358706E-05</v>
      </c>
      <c r="F120">
        <v>-5.195711912288647E-05</v>
      </c>
      <c r="G120">
        <v>-3.862808470001938E-05</v>
      </c>
      <c r="H120">
        <v>1.4411478395246087E-05</v>
      </c>
    </row>
    <row r="121" spans="3:8" ht="15.75">
      <c r="C121">
        <v>4.288578903113225E-21</v>
      </c>
      <c r="D121">
        <v>0.00011439265952721288</v>
      </c>
      <c r="E121">
        <v>0</v>
      </c>
      <c r="F121">
        <v>-3.713649012717412E-05</v>
      </c>
      <c r="G121">
        <v>-4.288578903113225E-21</v>
      </c>
      <c r="H121">
        <v>-7.725616940003876E-05</v>
      </c>
    </row>
    <row r="123" spans="2:3" ht="15.75">
      <c r="B123" t="s">
        <v>29</v>
      </c>
      <c r="C123" s="61">
        <f>D101</f>
        <v>-0.007730000000000001</v>
      </c>
    </row>
    <row r="124" ht="15.75">
      <c r="C124" s="61">
        <f>F101</f>
        <v>0.0074</v>
      </c>
    </row>
    <row r="125" ht="15.75">
      <c r="C125" s="61">
        <f>D102</f>
        <v>-0.008220000000000002</v>
      </c>
    </row>
    <row r="126" ht="15.75">
      <c r="C126" s="61">
        <f>F102</f>
        <v>0.00743</v>
      </c>
    </row>
    <row r="127" ht="15.75">
      <c r="C127" s="61">
        <f>D103</f>
        <v>-0.008289999999999999</v>
      </c>
    </row>
    <row r="128" ht="15.75">
      <c r="C128" s="61">
        <f>F103</f>
        <v>0.00655</v>
      </c>
    </row>
    <row r="130" spans="2:3" ht="15.75">
      <c r="B130" t="s">
        <v>30</v>
      </c>
      <c r="C130">
        <f aca="true" t="array" ref="C130:C135">MMULT(C116:H121,C123:C128)</f>
        <v>-0.008080000000000039</v>
      </c>
    </row>
    <row r="131" ht="15.75">
      <c r="C131">
        <v>0.007126666666666625</v>
      </c>
    </row>
    <row r="132" ht="15.75">
      <c r="C132">
        <v>-4.4538637722814447E-08</v>
      </c>
    </row>
    <row r="133" ht="15.75">
      <c r="C133">
        <v>3.477712093775317E-08</v>
      </c>
    </row>
    <row r="134" ht="15.75">
      <c r="C134">
        <v>1.692169730352258E-08</v>
      </c>
    </row>
    <row r="135" ht="15.75">
      <c r="C135">
        <v>6.45536492862176E-08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-0.008080000000000039</v>
      </c>
      <c r="D141">
        <f>C131</f>
        <v>0.007126666666666625</v>
      </c>
    </row>
    <row r="142" ht="15.75">
      <c r="B142" s="6"/>
    </row>
    <row r="143" spans="2:3" ht="15.75">
      <c r="B143" s="6" t="s">
        <v>47</v>
      </c>
      <c r="C143">
        <f>SQRT((C141^2)+(D141^2))</f>
        <v>0.010773846934952149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-0.7499642466412973</v>
      </c>
      <c r="D146">
        <f>D141/C143</f>
        <v>0.6614783660557247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48.58728091970988</v>
      </c>
      <c r="D148" t="s">
        <v>48</v>
      </c>
    </row>
    <row r="149" spans="2:4" ht="15.75">
      <c r="B149" s="6" t="s">
        <v>37</v>
      </c>
      <c r="C149" s="7">
        <f>IF((C141&lt;0),360-C148,C148)</f>
        <v>311.4127190802901</v>
      </c>
      <c r="D149" t="s">
        <v>48</v>
      </c>
    </row>
    <row r="151" spans="2:4" ht="15.75">
      <c r="B151" s="1" t="s">
        <v>38</v>
      </c>
      <c r="C151">
        <f>C133</f>
        <v>3.477712093775317E-08</v>
      </c>
      <c r="D151">
        <f>C134</f>
        <v>1.692169730352258E-08</v>
      </c>
    </row>
    <row r="152" spans="3:4" ht="15.75">
      <c r="C152">
        <f>C134</f>
        <v>1.692169730352258E-08</v>
      </c>
      <c r="D152">
        <f>C135</f>
        <v>6.45536492862176E-08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7.220433472712429E-08</v>
      </c>
    </row>
    <row r="156" spans="2:3" ht="15.75">
      <c r="B156" s="6" t="s">
        <v>40</v>
      </c>
      <c r="C156">
        <f>((C151+D152)-SQRT((4*D151*C152)+((C151-D152)^2)))/2</f>
        <v>2.7126435496846492E-08</v>
      </c>
    </row>
    <row r="157" spans="2:3" ht="15.75">
      <c r="B157" s="6" t="s">
        <v>42</v>
      </c>
      <c r="C157">
        <f>IF((C155&gt;C156),C155,C156)</f>
        <v>7.220433472712429E-08</v>
      </c>
    </row>
    <row r="158" spans="2:3" ht="15.75">
      <c r="B158" s="6" t="s">
        <v>43</v>
      </c>
      <c r="C158">
        <f>IF((C155&gt;C156),C156,C155)</f>
        <v>2.7126435496846492E-08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0.4119726062166586</v>
      </c>
      <c r="D161">
        <f>((C157-C151)/D151)/SQRT(1+((C157-C151)/D151)^2)</f>
        <v>0.9111962311857167</v>
      </c>
    </row>
    <row r="162" spans="2:4" ht="15.75">
      <c r="B162" s="6" t="s">
        <v>45</v>
      </c>
      <c r="C162">
        <f>1/SQRT(1+((C158-C151)/D151)^2)</f>
        <v>0.9111962311857167</v>
      </c>
      <c r="D162">
        <f>((C158-C151)/D151)/SQRT(1+((C158-C151)/D151)^2)</f>
        <v>-0.41197260621665854</v>
      </c>
    </row>
    <row r="164" spans="2:4" ht="15.75">
      <c r="B164" s="6" t="s">
        <v>49</v>
      </c>
      <c r="C164">
        <f>ACOS((C161*C138)+(D161*D138))*(180/PI())</f>
        <v>24.328811215462128</v>
      </c>
      <c r="D164" t="s">
        <v>48</v>
      </c>
    </row>
    <row r="165" spans="2:4" ht="15.75">
      <c r="B165" s="6" t="s">
        <v>50</v>
      </c>
      <c r="C165">
        <f>IF((C161&lt;0),360-C164,C164)</f>
        <v>24.328811215462128</v>
      </c>
      <c r="D165" t="s">
        <v>48</v>
      </c>
    </row>
    <row r="166" spans="2:4" ht="15.75">
      <c r="B166" s="6" t="s">
        <v>51</v>
      </c>
      <c r="C166">
        <f>IF((C165&lt;180),(C165+180),(C165-180))</f>
        <v>204.32881121546214</v>
      </c>
      <c r="D166" t="s">
        <v>48</v>
      </c>
    </row>
    <row r="167" spans="2:4" ht="15.75">
      <c r="B167" s="6" t="s">
        <v>52</v>
      </c>
      <c r="C167">
        <f>ACOS((C162*C138)+(D162*D138))*(180/PI())</f>
        <v>114.32881121546214</v>
      </c>
      <c r="D167" t="s">
        <v>48</v>
      </c>
    </row>
    <row r="168" spans="2:4" ht="15.75">
      <c r="B168" s="6" t="s">
        <v>53</v>
      </c>
      <c r="C168">
        <f>IF((C162&lt;0),360-C167,C167)</f>
        <v>114.32881121546214</v>
      </c>
      <c r="D168" t="s">
        <v>48</v>
      </c>
    </row>
    <row r="169" spans="2:4" ht="15.75">
      <c r="B169" s="6" t="s">
        <v>54</v>
      </c>
      <c r="C169">
        <f>IF((C168&lt;180),(C168+180),(C168-180))</f>
        <v>294.3288112154621</v>
      </c>
      <c r="D169" t="s">
        <v>48</v>
      </c>
    </row>
    <row r="171" spans="2:3" ht="15.75">
      <c r="B171" s="1" t="s">
        <v>55</v>
      </c>
      <c r="C171">
        <f>2*SQRT(((C151-D152)/2)^2+(D151)^2)</f>
        <v>4.507789923027779E-08</v>
      </c>
    </row>
    <row r="172" spans="2:3" ht="15.75">
      <c r="B172" s="1" t="s">
        <v>56</v>
      </c>
      <c r="C172">
        <f>C157+C158</f>
        <v>9.933077022397078E-08</v>
      </c>
    </row>
    <row r="173" spans="2:3" ht="15.75">
      <c r="B173" t="s">
        <v>57</v>
      </c>
      <c r="C173">
        <f>C172</f>
        <v>9.933077022397078E-08</v>
      </c>
    </row>
    <row r="174" spans="2:3" ht="15.75">
      <c r="B174" t="s">
        <v>58</v>
      </c>
      <c r="C174">
        <f>C157*C158</f>
        <v>1.95864622856805E-15</v>
      </c>
    </row>
    <row r="175" spans="2:3" ht="15.75">
      <c r="B175" t="s">
        <v>59</v>
      </c>
      <c r="C175">
        <f>C174</f>
        <v>1.95864622856805E-15</v>
      </c>
    </row>
    <row r="177" spans="2:8" ht="15.75">
      <c r="B177" t="s">
        <v>60</v>
      </c>
      <c r="C177" s="2">
        <f>1/(E101^2)</f>
        <v>4340277.777777778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3844675.1249519405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13717421.124828532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25000000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3559985.7600569585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5408328.826392645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-4863.02365098428</v>
      </c>
      <c r="D186" s="9">
        <f>C105</f>
        <v>1469.8438453555573</v>
      </c>
      <c r="E186" s="2">
        <f>(-1)*D106</f>
        <v>-1695.108572053723</v>
      </c>
      <c r="F186" s="9">
        <f>C106</f>
        <v>-7021.338574330439</v>
      </c>
      <c r="G186" s="2">
        <f>(-1)*D107</f>
        <v>6558.13222303614</v>
      </c>
      <c r="H186" s="9">
        <f>C107</f>
        <v>5551.494728974765</v>
      </c>
    </row>
    <row r="187" spans="3:8" ht="15.75">
      <c r="C187" s="9">
        <f>C105</f>
        <v>1469.8438453555573</v>
      </c>
      <c r="D187" s="2">
        <v>0</v>
      </c>
      <c r="E187" s="9">
        <f>C106</f>
        <v>-7021.338574330439</v>
      </c>
      <c r="F187" s="2">
        <v>0</v>
      </c>
      <c r="G187" s="9">
        <f>C107</f>
        <v>5551.494728974765</v>
      </c>
      <c r="H187" s="2">
        <v>0</v>
      </c>
    </row>
    <row r="188" spans="3:8" ht="15.75">
      <c r="C188" s="9">
        <f>D105</f>
        <v>4863.02365098428</v>
      </c>
      <c r="D188" s="9">
        <f>C105</f>
        <v>1469.8438453555573</v>
      </c>
      <c r="E188" s="9">
        <f>D106</f>
        <v>1695.108572053723</v>
      </c>
      <c r="F188" s="9">
        <f>C106</f>
        <v>-7021.338574330439</v>
      </c>
      <c r="G188" s="9">
        <f>D107</f>
        <v>-6558.13222303614</v>
      </c>
      <c r="H188" s="9">
        <f>C107</f>
        <v>5551.494728974765</v>
      </c>
    </row>
    <row r="189" spans="3:8" ht="15.75">
      <c r="C189" s="2">
        <v>0</v>
      </c>
      <c r="D189" s="9">
        <f>D105</f>
        <v>4863.02365098428</v>
      </c>
      <c r="E189" s="2">
        <v>0</v>
      </c>
      <c r="F189" s="9">
        <f>D106</f>
        <v>1695.108572053723</v>
      </c>
      <c r="G189" s="2">
        <v>0</v>
      </c>
      <c r="H189" s="9">
        <f>D107</f>
        <v>-6558.13222303614</v>
      </c>
    </row>
    <row r="191" spans="2:8" ht="15.75">
      <c r="B191" t="s">
        <v>62</v>
      </c>
      <c r="C191">
        <f aca="true" t="array" ref="C191:H196">MMULT(C177:H182,C109:H114)</f>
        <v>4340277.777777778</v>
      </c>
      <c r="D191">
        <v>0</v>
      </c>
      <c r="E191">
        <v>-21106873485.174828</v>
      </c>
      <c r="F191">
        <v>6379530578.800162</v>
      </c>
      <c r="G191">
        <v>21106873485.174828</v>
      </c>
      <c r="H191">
        <v>0</v>
      </c>
    </row>
    <row r="192" spans="3:8" ht="15.75">
      <c r="C192">
        <v>0</v>
      </c>
      <c r="D192">
        <v>3844675.1249519405</v>
      </c>
      <c r="E192">
        <v>5651072069.8022175</v>
      </c>
      <c r="F192">
        <v>0</v>
      </c>
      <c r="G192">
        <v>5651072069.8022175</v>
      </c>
      <c r="H192">
        <v>18696746062.99223</v>
      </c>
    </row>
    <row r="193" spans="3:8" ht="15.75">
      <c r="C193">
        <v>13717421.124828532</v>
      </c>
      <c r="D193">
        <v>0</v>
      </c>
      <c r="E193">
        <v>-23252518135.167667</v>
      </c>
      <c r="F193">
        <v>-96314658084.09381</v>
      </c>
      <c r="G193">
        <v>23252518135.167667</v>
      </c>
      <c r="H193">
        <v>0</v>
      </c>
    </row>
    <row r="194" spans="3:8" ht="15.75">
      <c r="C194">
        <v>0</v>
      </c>
      <c r="D194">
        <v>25000000</v>
      </c>
      <c r="E194">
        <v>-175533464358.261</v>
      </c>
      <c r="F194">
        <v>0</v>
      </c>
      <c r="G194">
        <v>-175533464358.261</v>
      </c>
      <c r="H194">
        <v>42377714301.34308</v>
      </c>
    </row>
    <row r="195" spans="3:8" ht="15.75">
      <c r="C195">
        <v>3559985.7600569585</v>
      </c>
      <c r="D195">
        <v>0</v>
      </c>
      <c r="E195">
        <v>23346857326.579346</v>
      </c>
      <c r="F195">
        <v>19763242182.181427</v>
      </c>
      <c r="G195">
        <v>-23346857326.579346</v>
      </c>
      <c r="H195">
        <v>0</v>
      </c>
    </row>
    <row r="196" spans="3:8" ht="15.75">
      <c r="C196">
        <v>0</v>
      </c>
      <c r="D196">
        <v>5408328.826392645</v>
      </c>
      <c r="E196">
        <v>30024308972.281048</v>
      </c>
      <c r="F196">
        <v>0</v>
      </c>
      <c r="G196">
        <v>30024308972.281048</v>
      </c>
      <c r="H196">
        <v>-35468535549.14084</v>
      </c>
    </row>
    <row r="198" spans="2:8" ht="15.75">
      <c r="B198" t="s">
        <v>63</v>
      </c>
      <c r="C198">
        <f aca="true" t="array" ref="C198:H203">MMULT(C184:H189,C191:H196)</f>
        <v>21617684.662663266</v>
      </c>
      <c r="D198">
        <v>0</v>
      </c>
      <c r="E198">
        <v>-21012534293.763153</v>
      </c>
      <c r="F198">
        <v>-70171885323.11223</v>
      </c>
      <c r="G198">
        <v>21012534293.763153</v>
      </c>
      <c r="H198">
        <v>0</v>
      </c>
    </row>
    <row r="199" spans="3:8" ht="15.75">
      <c r="C199">
        <v>0</v>
      </c>
      <c r="D199">
        <v>34253003.95134459</v>
      </c>
      <c r="E199">
        <v>-139858083316.17773</v>
      </c>
      <c r="F199">
        <v>0</v>
      </c>
      <c r="G199">
        <v>-139858083316.17773</v>
      </c>
      <c r="H199">
        <v>25605924815.194473</v>
      </c>
    </row>
    <row r="200" spans="3:8" ht="15.75">
      <c r="C200">
        <v>-21012534293.763153</v>
      </c>
      <c r="D200">
        <v>-139858083316.17773</v>
      </c>
      <c r="E200">
        <v>1702636415996265.5</v>
      </c>
      <c r="F200">
        <v>261849949832519.3</v>
      </c>
      <c r="G200">
        <v>1112295325777139.6</v>
      </c>
      <c r="H200">
        <v>-466970371132619.44</v>
      </c>
    </row>
    <row r="201" spans="3:8" ht="15.75">
      <c r="C201">
        <v>-70171885323.11223</v>
      </c>
      <c r="D201">
        <v>0</v>
      </c>
      <c r="E201">
        <v>261849949832519.3</v>
      </c>
      <c r="F201">
        <v>795350272638633.8</v>
      </c>
      <c r="G201">
        <v>-261849949832519.3</v>
      </c>
      <c r="H201">
        <v>0</v>
      </c>
    </row>
    <row r="202" spans="3:8" ht="15.75">
      <c r="C202">
        <v>21012534293.763153</v>
      </c>
      <c r="D202">
        <v>-139858083316.17773</v>
      </c>
      <c r="E202">
        <v>1112295325777139.6</v>
      </c>
      <c r="F202">
        <v>-261849949832519.3</v>
      </c>
      <c r="G202">
        <v>1702636415996265.5</v>
      </c>
      <c r="H202">
        <v>-466970371132619.44</v>
      </c>
    </row>
    <row r="203" spans="3:8" ht="15.75">
      <c r="C203">
        <v>0</v>
      </c>
      <c r="D203">
        <v>25605924815.194473</v>
      </c>
      <c r="E203">
        <v>-466970371132619.44</v>
      </c>
      <c r="F203">
        <v>0</v>
      </c>
      <c r="G203">
        <v>-466970371132619.44</v>
      </c>
      <c r="H203">
        <v>395364890965752.1</v>
      </c>
    </row>
    <row r="205" spans="2:8" ht="15.75">
      <c r="B205" t="s">
        <v>64</v>
      </c>
      <c r="C205">
        <f aca="true" t="array" ref="C205:H210">MINVERSE(C198:H203)</f>
        <v>6.491111111111083E-08</v>
      </c>
      <c r="D205">
        <v>-1.6201194708982895E-24</v>
      </c>
      <c r="E205">
        <v>-3.245934400531825E-13</v>
      </c>
      <c r="F205">
        <v>5.940683947208776E-12</v>
      </c>
      <c r="G205">
        <v>3.245934400531817E-13</v>
      </c>
      <c r="H205">
        <v>0</v>
      </c>
    </row>
    <row r="206" spans="3:8" ht="15.75">
      <c r="C206">
        <v>-3.545816033574822E-24</v>
      </c>
      <c r="D206">
        <v>5.388888888888363E-08</v>
      </c>
      <c r="E206">
        <v>3.4506729145410338E-12</v>
      </c>
      <c r="F206">
        <v>-4.070901642391581E-27</v>
      </c>
      <c r="G206">
        <v>3.450672914541022E-12</v>
      </c>
      <c r="H206">
        <v>4.6611351386218925E-12</v>
      </c>
    </row>
    <row r="207" spans="3:8" ht="15.75">
      <c r="C207">
        <v>-3.2459344005320413E-13</v>
      </c>
      <c r="D207">
        <v>3.4506729145410293E-12</v>
      </c>
      <c r="E207">
        <v>1.7110488621856723E-15</v>
      </c>
      <c r="F207">
        <v>-8.174691953919168E-16</v>
      </c>
      <c r="G207">
        <v>-6.849684529900009E-16</v>
      </c>
      <c r="H207">
        <v>9.884324258733914E-16</v>
      </c>
    </row>
    <row r="208" spans="3:8" ht="15.75">
      <c r="C208">
        <v>5.940683947208778E-12</v>
      </c>
      <c r="D208">
        <v>0</v>
      </c>
      <c r="E208">
        <v>-8.174691953919147E-16</v>
      </c>
      <c r="F208">
        <v>2.3197044016462634E-15</v>
      </c>
      <c r="G208">
        <v>8.174691953919147E-16</v>
      </c>
      <c r="H208">
        <v>0</v>
      </c>
    </row>
    <row r="209" spans="3:8" ht="15.75">
      <c r="C209">
        <v>3.2459344005320373E-13</v>
      </c>
      <c r="D209">
        <v>3.4506729145410297E-12</v>
      </c>
      <c r="E209">
        <v>-6.849684529900001E-16</v>
      </c>
      <c r="F209">
        <v>8.174691953919163E-16</v>
      </c>
      <c r="G209">
        <v>1.7110488621856717E-15</v>
      </c>
      <c r="H209">
        <v>9.884324258733914E-16</v>
      </c>
    </row>
    <row r="210" spans="3:8" ht="15.75">
      <c r="C210">
        <v>-2.7703379318813754E-28</v>
      </c>
      <c r="D210">
        <v>4.661135138621895E-12</v>
      </c>
      <c r="E210">
        <v>9.88432425873392E-16</v>
      </c>
      <c r="F210">
        <v>-4.450124226511701E-31</v>
      </c>
      <c r="G210">
        <v>9.884324258733906E-16</v>
      </c>
      <c r="H210">
        <v>4.562328822825249E-15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1.0722043347271244</v>
      </c>
      <c r="F214" s="62">
        <f aca="true" t="shared" si="3" ref="F214:F234">(1+$C$158*(10^6))*SIN(B214)</f>
        <v>0</v>
      </c>
      <c r="G214">
        <f>E214*$C$161-F214*$D$161</f>
        <v>0.441718814174332</v>
      </c>
      <c r="H214">
        <f>E214*$D$161+F214*$C$161</f>
        <v>0.9769885488643444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1.0197269193421417</v>
      </c>
      <c r="F215" s="62">
        <f t="shared" si="3"/>
        <v>0.3173995239402888</v>
      </c>
      <c r="G215">
        <f aca="true" t="shared" si="6" ref="G215:G234">E215*$C$161-F215*$D$161</f>
        <v>0.1308863065961347</v>
      </c>
      <c r="H215">
        <f aca="true" t="shared" si="7" ref="H215:H234">E215*$D$161+F215*$C$161</f>
        <v>1.0599312348327883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0.8674315282367283</v>
      </c>
      <c r="F216" s="62">
        <f t="shared" si="3"/>
        <v>0.6037297710247826</v>
      </c>
      <c r="G216">
        <f t="shared" si="6"/>
        <v>-0.19275826461021361</v>
      </c>
      <c r="H216">
        <f t="shared" si="7"/>
        <v>1.0391204665606397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0.6302258953966662</v>
      </c>
      <c r="F217" s="62">
        <f t="shared" si="3"/>
        <v>0.8309627416887121</v>
      </c>
      <c r="G217">
        <f t="shared" si="6"/>
        <v>-0.4975343138507129</v>
      </c>
      <c r="H217">
        <f t="shared" si="7"/>
        <v>0.9165933470435247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0.33132936087316606</v>
      </c>
      <c r="F218" s="62">
        <f t="shared" si="3"/>
        <v>0.9768552895382896</v>
      </c>
      <c r="G218">
        <f t="shared" si="6"/>
        <v>-0.7536082379261035</v>
      </c>
      <c r="H218">
        <f t="shared" si="7"/>
        <v>0.704343684436419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6.568047420186307E-17</v>
      </c>
      <c r="F219" s="62">
        <f t="shared" si="3"/>
        <v>1.0271264354968466</v>
      </c>
      <c r="G219">
        <f t="shared" si="6"/>
        <v>-0.9359137369759457</v>
      </c>
      <c r="H219">
        <f t="shared" si="7"/>
        <v>0.4231479545456626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-0.33132936087316595</v>
      </c>
      <c r="F220" s="62">
        <f t="shared" si="3"/>
        <v>0.9768552895382897</v>
      </c>
      <c r="G220">
        <f t="shared" si="6"/>
        <v>-1.0266054785561396</v>
      </c>
      <c r="H220">
        <f t="shared" si="7"/>
        <v>0.1005315546188168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-0.630225895396666</v>
      </c>
      <c r="F221" s="62">
        <f t="shared" si="3"/>
        <v>0.8309627416887121</v>
      </c>
      <c r="G221">
        <f t="shared" si="6"/>
        <v>-1.0168059231142965</v>
      </c>
      <c r="H221">
        <f t="shared" si="7"/>
        <v>-0.2319255743186469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-0.8674315282367282</v>
      </c>
      <c r="F222" s="62">
        <f t="shared" si="3"/>
        <v>0.6037297710247828</v>
      </c>
      <c r="G222">
        <f t="shared" si="6"/>
        <v>-0.9074743194145818</v>
      </c>
      <c r="H222">
        <f t="shared" si="7"/>
        <v>-0.541680212121307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-1.0197269193421417</v>
      </c>
      <c r="F223" s="62">
        <f t="shared" si="3"/>
        <v>0.3173995239402889</v>
      </c>
      <c r="G223">
        <f t="shared" si="6"/>
        <v>-0.7093128065851984</v>
      </c>
      <c r="H223">
        <f t="shared" si="7"/>
        <v>-0.7984114166535732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-1.0722043347271244</v>
      </c>
      <c r="F224" s="62">
        <f t="shared" si="3"/>
        <v>1.25838236544476E-16</v>
      </c>
      <c r="G224">
        <f t="shared" si="6"/>
        <v>-0.4417188141743321</v>
      </c>
      <c r="H224">
        <f t="shared" si="7"/>
        <v>-0.9769885488643444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-1.0197269193421417</v>
      </c>
      <c r="F225" s="62">
        <f t="shared" si="3"/>
        <v>-0.3173995239402887</v>
      </c>
      <c r="G225">
        <f t="shared" si="6"/>
        <v>-0.13088630659613476</v>
      </c>
      <c r="H225">
        <f t="shared" si="7"/>
        <v>-1.0599312348327883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-0.8674315282367284</v>
      </c>
      <c r="F226" s="62">
        <f t="shared" si="3"/>
        <v>-0.6037297710247825</v>
      </c>
      <c r="G226">
        <f t="shared" si="6"/>
        <v>0.19275826461021345</v>
      </c>
      <c r="H226">
        <f t="shared" si="7"/>
        <v>-1.0391204665606397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-0.6302258953966663</v>
      </c>
      <c r="F227" s="62">
        <f t="shared" si="3"/>
        <v>-0.830962741688712</v>
      </c>
      <c r="G227">
        <f t="shared" si="6"/>
        <v>0.49753431385071273</v>
      </c>
      <c r="H227">
        <f t="shared" si="7"/>
        <v>-0.9165933470435248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-0.33132936087316617</v>
      </c>
      <c r="F228" s="62">
        <f t="shared" si="3"/>
        <v>-0.9768552895382896</v>
      </c>
      <c r="G228">
        <f t="shared" si="6"/>
        <v>0.7536082379261035</v>
      </c>
      <c r="H228">
        <f t="shared" si="7"/>
        <v>-0.704343684436419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-1.970414226055892E-16</v>
      </c>
      <c r="F229" s="62">
        <f t="shared" si="3"/>
        <v>-1.0271264354968466</v>
      </c>
      <c r="G229">
        <f t="shared" si="6"/>
        <v>0.9359137369759456</v>
      </c>
      <c r="H229">
        <f t="shared" si="7"/>
        <v>-0.42314795454566273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0.33132936087316583</v>
      </c>
      <c r="F230" s="62">
        <f t="shared" si="3"/>
        <v>-0.9768552895382897</v>
      </c>
      <c r="G230">
        <f t="shared" si="6"/>
        <v>1.0266054785561396</v>
      </c>
      <c r="H230">
        <f t="shared" si="7"/>
        <v>-0.10053155461881691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0.6302258953966658</v>
      </c>
      <c r="F231" s="62">
        <f t="shared" si="3"/>
        <v>-0.8309627416887123</v>
      </c>
      <c r="G231">
        <f t="shared" si="6"/>
        <v>1.0168059231142967</v>
      </c>
      <c r="H231">
        <f t="shared" si="7"/>
        <v>0.2319255743186468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0.8674315282367282</v>
      </c>
      <c r="F232" s="62">
        <f t="shared" si="3"/>
        <v>-0.6037297710247829</v>
      </c>
      <c r="G232">
        <f t="shared" si="6"/>
        <v>0.9074743194145818</v>
      </c>
      <c r="H232">
        <f t="shared" si="7"/>
        <v>0.541680212121307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1.0197269193421417</v>
      </c>
      <c r="F233" s="62">
        <f t="shared" si="3"/>
        <v>-0.31739952394028903</v>
      </c>
      <c r="G233">
        <f t="shared" si="6"/>
        <v>0.7093128065851986</v>
      </c>
      <c r="H233">
        <f t="shared" si="7"/>
        <v>0.7984114166535732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1.0722043347271244</v>
      </c>
      <c r="F234" s="62">
        <f t="shared" si="3"/>
        <v>-2.51676473088952E-16</v>
      </c>
      <c r="G234">
        <f t="shared" si="6"/>
        <v>0.44171881417433223</v>
      </c>
      <c r="H234">
        <f t="shared" si="7"/>
        <v>0.9769885488643443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2020-12-27T19:28:05Z</dcterms:modified>
  <cp:category/>
  <cp:version/>
  <cp:contentType/>
  <cp:contentStatus/>
</cp:coreProperties>
</file>