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ince/Desktop/"/>
    </mc:Choice>
  </mc:AlternateContent>
  <xr:revisionPtr revIDLastSave="0" documentId="8_{7FD14304-B211-E345-AA68-65AA483F4FCF}" xr6:coauthVersionLast="47" xr6:coauthVersionMax="47" xr10:uidLastSave="{00000000-0000-0000-0000-000000000000}"/>
  <workbookProtection workbookAlgorithmName="SHA-512" workbookHashValue="wFax8hPiv7HRS/1niIj1XcR8cdwhNTHNTOZt7DxMN/lQja2otfnfaHMD1KqqDS3iKxmvQdnj+T0b99hDkvHZQA==" workbookSaltValue="cPjklS7NtNZqEsZ38kMEtg==" workbookSpinCount="100000" lockStructure="1"/>
  <bookViews>
    <workbookView xWindow="1760" yWindow="12040" windowWidth="24620" windowHeight="27760" tabRatio="500" xr2:uid="{00000000-000D-0000-FFFF-FFFF00000000}"/>
  </bookViews>
  <sheets>
    <sheet name="Sheet1" sheetId="1" r:id="rId1"/>
  </sheets>
  <definedNames>
    <definedName name="_xlnm.Print_Area" localSheetId="0">Sheet1!$A$1:$J$234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2" i="1" l="1"/>
  <c r="G181" i="1"/>
  <c r="F180" i="1"/>
  <c r="E179" i="1"/>
  <c r="D178" i="1"/>
  <c r="C177" i="1"/>
  <c r="C59" i="1" l="1"/>
  <c r="C58" i="1"/>
  <c r="C57" i="1"/>
  <c r="D101" i="1"/>
  <c r="C123" i="1" s="1"/>
  <c r="D214" i="1"/>
  <c r="C214" i="1"/>
  <c r="B215" i="1"/>
  <c r="D215" i="1"/>
  <c r="B216" i="1"/>
  <c r="C216" i="1"/>
  <c r="G101" i="1"/>
  <c r="G103" i="1"/>
  <c r="G102" i="1"/>
  <c r="F103" i="1"/>
  <c r="C128" i="1" s="1"/>
  <c r="F102" i="1"/>
  <c r="C126" i="1" s="1"/>
  <c r="F101" i="1"/>
  <c r="C124" i="1" s="1"/>
  <c r="E103" i="1"/>
  <c r="E102" i="1"/>
  <c r="E101" i="1"/>
  <c r="D103" i="1"/>
  <c r="C127" i="1" s="1"/>
  <c r="D102" i="1"/>
  <c r="C125" i="1" s="1"/>
  <c r="C103" i="1"/>
  <c r="C102" i="1"/>
  <c r="C101" i="1"/>
  <c r="E44" i="1"/>
  <c r="E45" i="1" s="1"/>
  <c r="E46" i="1" s="1"/>
  <c r="C44" i="1"/>
  <c r="C45" i="1" s="1"/>
  <c r="D44" i="1"/>
  <c r="D45" i="1" s="1"/>
  <c r="D46" i="1" s="1"/>
  <c r="E77" i="1"/>
  <c r="D77" i="1"/>
  <c r="C77" i="1"/>
  <c r="E43" i="1"/>
  <c r="E57" i="1"/>
  <c r="E42" i="1"/>
  <c r="E65" i="1" s="1"/>
  <c r="D43" i="1"/>
  <c r="D57" i="1"/>
  <c r="D42" i="1"/>
  <c r="D60" i="1" s="1"/>
  <c r="D58" i="1"/>
  <c r="C43" i="1"/>
  <c r="C42" i="1"/>
  <c r="C66" i="1" s="1"/>
  <c r="E86" i="1"/>
  <c r="D86" i="1"/>
  <c r="C86" i="1"/>
  <c r="E41" i="1"/>
  <c r="E59" i="1"/>
  <c r="D41" i="1"/>
  <c r="D59" i="1"/>
  <c r="C41" i="1"/>
  <c r="C97" i="1"/>
  <c r="C96" i="1"/>
  <c r="C95" i="1"/>
  <c r="C215" i="1"/>
  <c r="E58" i="1"/>
  <c r="B217" i="1"/>
  <c r="D216" i="1"/>
  <c r="C217" i="1"/>
  <c r="B218" i="1"/>
  <c r="D217" i="1"/>
  <c r="B219" i="1"/>
  <c r="C218" i="1"/>
  <c r="D218" i="1"/>
  <c r="D219" i="1"/>
  <c r="B220" i="1"/>
  <c r="C219" i="1"/>
  <c r="C220" i="1"/>
  <c r="D220" i="1"/>
  <c r="B221" i="1"/>
  <c r="C221" i="1"/>
  <c r="D221" i="1"/>
  <c r="B222" i="1"/>
  <c r="B223" i="1"/>
  <c r="C222" i="1"/>
  <c r="D222" i="1"/>
  <c r="D223" i="1"/>
  <c r="B224" i="1"/>
  <c r="C223" i="1"/>
  <c r="C224" i="1"/>
  <c r="D224" i="1"/>
  <c r="B225" i="1"/>
  <c r="C225" i="1"/>
  <c r="B226" i="1"/>
  <c r="D225" i="1"/>
  <c r="B227" i="1"/>
  <c r="C226" i="1"/>
  <c r="D226" i="1"/>
  <c r="D227" i="1"/>
  <c r="B228" i="1"/>
  <c r="C227" i="1"/>
  <c r="C228" i="1"/>
  <c r="D228" i="1"/>
  <c r="B229" i="1"/>
  <c r="C229" i="1"/>
  <c r="D229" i="1"/>
  <c r="B230" i="1"/>
  <c r="B231" i="1"/>
  <c r="C230" i="1"/>
  <c r="D230" i="1"/>
  <c r="D231" i="1"/>
  <c r="B232" i="1"/>
  <c r="C231" i="1"/>
  <c r="C232" i="1"/>
  <c r="D232" i="1"/>
  <c r="B233" i="1"/>
  <c r="C233" i="1"/>
  <c r="B234" i="1"/>
  <c r="D233" i="1"/>
  <c r="C234" i="1"/>
  <c r="D234" i="1"/>
  <c r="C60" i="1" l="1"/>
  <c r="C61" i="1"/>
  <c r="C67" i="1"/>
  <c r="C68" i="1"/>
  <c r="C65" i="1"/>
  <c r="C69" i="1" s="1"/>
  <c r="C71" i="1" s="1"/>
  <c r="E48" i="1"/>
  <c r="E47" i="1"/>
  <c r="E62" i="1" s="1"/>
  <c r="E60" i="1"/>
  <c r="E61" i="1"/>
  <c r="E68" i="1"/>
  <c r="E67" i="1"/>
  <c r="E66" i="1"/>
  <c r="D48" i="1"/>
  <c r="D47" i="1"/>
  <c r="D62" i="1"/>
  <c r="D68" i="1"/>
  <c r="D67" i="1"/>
  <c r="D65" i="1"/>
  <c r="D61" i="1"/>
  <c r="D66" i="1"/>
  <c r="E83" i="1"/>
  <c r="C46" i="1"/>
  <c r="D83" i="1"/>
  <c r="C83" i="1"/>
  <c r="E69" i="1" l="1"/>
  <c r="E71" i="1" s="1"/>
  <c r="D69" i="1"/>
  <c r="D71" i="1" s="1"/>
  <c r="C75" i="1"/>
  <c r="C74" i="1"/>
  <c r="C73" i="1"/>
  <c r="C72" i="1"/>
  <c r="E50" i="1"/>
  <c r="E51" i="1" s="1"/>
  <c r="E49" i="1"/>
  <c r="E63" i="1" s="1"/>
  <c r="E73" i="1"/>
  <c r="E74" i="1"/>
  <c r="E75" i="1"/>
  <c r="E72" i="1"/>
  <c r="E78" i="1" s="1"/>
  <c r="D49" i="1"/>
  <c r="D50" i="1"/>
  <c r="D51" i="1" s="1"/>
  <c r="D63" i="1"/>
  <c r="D74" i="1"/>
  <c r="D72" i="1"/>
  <c r="D78" i="1" s="1"/>
  <c r="D73" i="1"/>
  <c r="D75" i="1"/>
  <c r="C48" i="1"/>
  <c r="C47" i="1"/>
  <c r="C62" i="1" s="1"/>
  <c r="D80" i="1" l="1"/>
  <c r="D87" i="1" s="1"/>
  <c r="C79" i="1"/>
  <c r="C78" i="1"/>
  <c r="E81" i="1"/>
  <c r="E79" i="1"/>
  <c r="E80" i="1"/>
  <c r="E87" i="1" s="1"/>
  <c r="D79" i="1"/>
  <c r="D81" i="1"/>
  <c r="D88" i="1" s="1"/>
  <c r="C49" i="1"/>
  <c r="C63" i="1" s="1"/>
  <c r="C80" i="1" s="1"/>
  <c r="C50" i="1"/>
  <c r="C51" i="1" s="1"/>
  <c r="E88" i="1" l="1"/>
  <c r="C87" i="1"/>
  <c r="C81" i="1"/>
  <c r="C88" i="1" s="1"/>
  <c r="C91" i="1" l="1"/>
  <c r="D91" i="1"/>
  <c r="E95" i="1" s="1"/>
  <c r="D105" i="1" s="1"/>
  <c r="E109" i="1" l="1"/>
  <c r="G109" i="1"/>
  <c r="C186" i="1"/>
  <c r="D189" i="1"/>
  <c r="C188" i="1"/>
  <c r="H110" i="1"/>
  <c r="E96" i="1"/>
  <c r="D106" i="1" s="1"/>
  <c r="E97" i="1"/>
  <c r="D107" i="1" s="1"/>
  <c r="D96" i="1"/>
  <c r="C106" i="1" s="1"/>
  <c r="D97" i="1"/>
  <c r="C107" i="1" s="1"/>
  <c r="D95" i="1"/>
  <c r="C105" i="1" s="1"/>
  <c r="G111" i="1" l="1"/>
  <c r="F189" i="1"/>
  <c r="E111" i="1"/>
  <c r="E188" i="1"/>
  <c r="H112" i="1"/>
  <c r="E186" i="1"/>
  <c r="G188" i="1"/>
  <c r="G113" i="1"/>
  <c r="H114" i="1"/>
  <c r="E113" i="1"/>
  <c r="H189" i="1"/>
  <c r="G186" i="1"/>
  <c r="H188" i="1"/>
  <c r="E114" i="1"/>
  <c r="H186" i="1"/>
  <c r="G187" i="1"/>
  <c r="F113" i="1"/>
  <c r="G114" i="1"/>
  <c r="G110" i="1"/>
  <c r="C187" i="1"/>
  <c r="D186" i="1"/>
  <c r="D188" i="1"/>
  <c r="E110" i="1"/>
  <c r="F109" i="1"/>
  <c r="C116" i="1" s="1" a="1"/>
  <c r="C116" i="1" s="1"/>
  <c r="F188" i="1"/>
  <c r="F111" i="1"/>
  <c r="F186" i="1"/>
  <c r="E112" i="1"/>
  <c r="G112" i="1"/>
  <c r="E187" i="1"/>
  <c r="C191" i="1" l="1" a="1"/>
  <c r="G195" i="1" s="1"/>
  <c r="F192" i="1" l="1"/>
  <c r="C191" i="1"/>
  <c r="D196" i="1"/>
  <c r="H193" i="1"/>
  <c r="D191" i="1"/>
  <c r="C195" i="1"/>
  <c r="F196" i="1"/>
  <c r="D194" i="1"/>
  <c r="E195" i="1"/>
  <c r="F195" i="1"/>
  <c r="F194" i="1"/>
  <c r="E193" i="1"/>
  <c r="E196" i="1"/>
  <c r="D193" i="1"/>
  <c r="G196" i="1"/>
  <c r="H192" i="1"/>
  <c r="F191" i="1"/>
  <c r="C194" i="1"/>
  <c r="H194" i="1"/>
  <c r="H195" i="1"/>
  <c r="F193" i="1"/>
  <c r="G191" i="1"/>
  <c r="C193" i="1"/>
  <c r="G192" i="1"/>
  <c r="C192" i="1"/>
  <c r="E192" i="1"/>
  <c r="E194" i="1"/>
  <c r="D195" i="1"/>
  <c r="G194" i="1"/>
  <c r="H196" i="1"/>
  <c r="H191" i="1"/>
  <c r="C196" i="1"/>
  <c r="D192" i="1"/>
  <c r="G193" i="1"/>
  <c r="E191" i="1"/>
  <c r="C130" i="1" l="1" a="1"/>
  <c r="C132" i="1" s="1"/>
  <c r="C198" i="1" a="1"/>
  <c r="D199" i="1" s="1"/>
  <c r="C134" i="1" l="1"/>
  <c r="C34" i="1" s="1"/>
  <c r="C131" i="1"/>
  <c r="C18" i="1" s="1"/>
  <c r="C133" i="1"/>
  <c r="C33" i="1" s="1"/>
  <c r="C130" i="1"/>
  <c r="C17" i="1" s="1"/>
  <c r="C135" i="1"/>
  <c r="D152" i="1" s="1"/>
  <c r="C203" i="1"/>
  <c r="C200" i="1"/>
  <c r="G198" i="1"/>
  <c r="C199" i="1"/>
  <c r="F200" i="1"/>
  <c r="E199" i="1"/>
  <c r="E201" i="1"/>
  <c r="D202" i="1"/>
  <c r="H203" i="1"/>
  <c r="F201" i="1"/>
  <c r="D203" i="1"/>
  <c r="E200" i="1"/>
  <c r="E203" i="1"/>
  <c r="G200" i="1"/>
  <c r="H202" i="1"/>
  <c r="D201" i="1"/>
  <c r="C202" i="1"/>
  <c r="F199" i="1"/>
  <c r="G201" i="1"/>
  <c r="F202" i="1"/>
  <c r="C198" i="1"/>
  <c r="G202" i="1"/>
  <c r="E198" i="1"/>
  <c r="G199" i="1"/>
  <c r="H198" i="1"/>
  <c r="G203" i="1"/>
  <c r="H201" i="1"/>
  <c r="D200" i="1"/>
  <c r="D198" i="1"/>
  <c r="H199" i="1"/>
  <c r="F203" i="1"/>
  <c r="H200" i="1"/>
  <c r="E202" i="1"/>
  <c r="C201" i="1"/>
  <c r="F198" i="1"/>
  <c r="C152" i="1"/>
  <c r="C22" i="1"/>
  <c r="C23" i="1" s="1"/>
  <c r="C21" i="1"/>
  <c r="C151" i="1" l="1"/>
  <c r="D141" i="1"/>
  <c r="D151" i="1"/>
  <c r="C141" i="1"/>
  <c r="C35" i="1"/>
  <c r="C205" i="1" a="1"/>
  <c r="H206" i="1" s="1"/>
  <c r="C175" i="1" l="1"/>
  <c r="C38" i="1" s="1"/>
  <c r="C143" i="1"/>
  <c r="C20" i="1" s="1"/>
  <c r="C155" i="1"/>
  <c r="C156" i="1"/>
  <c r="C171" i="1"/>
  <c r="C28" i="1" s="1"/>
  <c r="E209" i="1"/>
  <c r="H205" i="1"/>
  <c r="F205" i="1"/>
  <c r="E206" i="1"/>
  <c r="G208" i="1"/>
  <c r="F207" i="1"/>
  <c r="F210" i="1"/>
  <c r="C207" i="1"/>
  <c r="G210" i="1"/>
  <c r="C209" i="1"/>
  <c r="C210" i="1"/>
  <c r="D206" i="1"/>
  <c r="E18" i="1" s="1"/>
  <c r="G207" i="1"/>
  <c r="E207" i="1"/>
  <c r="D207" i="1"/>
  <c r="F208" i="1"/>
  <c r="E33" i="1" s="1"/>
  <c r="D210" i="1"/>
  <c r="C205" i="1"/>
  <c r="E17" i="1" s="1"/>
  <c r="E205" i="1"/>
  <c r="E210" i="1"/>
  <c r="H210" i="1"/>
  <c r="E35" i="1" s="1"/>
  <c r="D209" i="1"/>
  <c r="F209" i="1"/>
  <c r="C208" i="1"/>
  <c r="H208" i="1"/>
  <c r="F206" i="1"/>
  <c r="D208" i="1"/>
  <c r="G206" i="1"/>
  <c r="H209" i="1"/>
  <c r="D205" i="1"/>
  <c r="G209" i="1"/>
  <c r="E34" i="1" s="1"/>
  <c r="H207" i="1"/>
  <c r="G205" i="1"/>
  <c r="E208" i="1"/>
  <c r="C206" i="1"/>
  <c r="C146" i="1"/>
  <c r="D146" i="1"/>
  <c r="E22" i="1" l="1"/>
  <c r="E21" i="1"/>
  <c r="C158" i="1"/>
  <c r="F224" i="1" s="1"/>
  <c r="C157" i="1"/>
  <c r="E225" i="1" s="1"/>
  <c r="C148" i="1"/>
  <c r="C149" i="1" s="1"/>
  <c r="C19" i="1" s="1"/>
  <c r="E232" i="1" l="1"/>
  <c r="F228" i="1"/>
  <c r="F230" i="1"/>
  <c r="E224" i="1"/>
  <c r="E222" i="1"/>
  <c r="E214" i="1"/>
  <c r="F215" i="1"/>
  <c r="F229" i="1"/>
  <c r="F234" i="1"/>
  <c r="E216" i="1"/>
  <c r="E226" i="1"/>
  <c r="E217" i="1"/>
  <c r="F232" i="1"/>
  <c r="E229" i="1"/>
  <c r="F231" i="1"/>
  <c r="E227" i="1"/>
  <c r="E221" i="1"/>
  <c r="F219" i="1"/>
  <c r="F221" i="1"/>
  <c r="D161" i="1"/>
  <c r="E230" i="1"/>
  <c r="E233" i="1"/>
  <c r="F233" i="1"/>
  <c r="F222" i="1"/>
  <c r="F223" i="1"/>
  <c r="E228" i="1"/>
  <c r="E220" i="1"/>
  <c r="C24" i="1"/>
  <c r="C26" i="1"/>
  <c r="F227" i="1"/>
  <c r="F220" i="1"/>
  <c r="E231" i="1"/>
  <c r="E218" i="1"/>
  <c r="E215" i="1"/>
  <c r="C162" i="1"/>
  <c r="D162" i="1"/>
  <c r="E223" i="1"/>
  <c r="C174" i="1"/>
  <c r="C37" i="1" s="1"/>
  <c r="F226" i="1"/>
  <c r="C172" i="1"/>
  <c r="C173" i="1" s="1"/>
  <c r="C36" i="1" s="1"/>
  <c r="F225" i="1"/>
  <c r="E234" i="1"/>
  <c r="E219" i="1"/>
  <c r="C161" i="1"/>
  <c r="F218" i="1"/>
  <c r="F216" i="1"/>
  <c r="F217" i="1"/>
  <c r="F214" i="1"/>
  <c r="H215" i="1" l="1"/>
  <c r="G227" i="1"/>
  <c r="G216" i="1"/>
  <c r="G221" i="1"/>
  <c r="G219" i="1"/>
  <c r="H232" i="1"/>
  <c r="H225" i="1"/>
  <c r="G225" i="1"/>
  <c r="H219" i="1"/>
  <c r="H223" i="1"/>
  <c r="G230" i="1"/>
  <c r="G224" i="1"/>
  <c r="H220" i="1"/>
  <c r="H228" i="1"/>
  <c r="G215" i="1"/>
  <c r="G228" i="1"/>
  <c r="H234" i="1"/>
  <c r="H230" i="1"/>
  <c r="G214" i="1"/>
  <c r="H231" i="1"/>
  <c r="G233" i="1"/>
  <c r="H218" i="1"/>
  <c r="C167" i="1"/>
  <c r="C168" i="1" s="1"/>
  <c r="C169" i="1" s="1"/>
  <c r="E27" i="1" s="1"/>
  <c r="H226" i="1"/>
  <c r="H229" i="1"/>
  <c r="G222" i="1"/>
  <c r="H217" i="1"/>
  <c r="G217" i="1"/>
  <c r="H224" i="1"/>
  <c r="G220" i="1"/>
  <c r="C164" i="1"/>
  <c r="C165" i="1" s="1"/>
  <c r="C25" i="1" s="1"/>
  <c r="G232" i="1"/>
  <c r="G226" i="1"/>
  <c r="C29" i="1"/>
  <c r="H233" i="1"/>
  <c r="H214" i="1"/>
  <c r="G231" i="1"/>
  <c r="H216" i="1"/>
  <c r="G229" i="1"/>
  <c r="H222" i="1"/>
  <c r="H227" i="1"/>
  <c r="G223" i="1"/>
  <c r="G234" i="1"/>
  <c r="H221" i="1"/>
  <c r="G218" i="1"/>
  <c r="C166" i="1" l="1"/>
  <c r="E25" i="1" s="1"/>
  <c r="C27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<sst xmlns="http://schemas.openxmlformats.org/spreadsheetml/2006/main" count="174" uniqueCount="136">
  <si>
    <t>Infinitesimal strain from GPS velocity data from sites in a triangular array</t>
  </si>
  <si>
    <t>Send corrections, suggestions, comments to Vince_Cronin@baylor.edu</t>
  </si>
  <si>
    <t>Instructions</t>
  </si>
  <si>
    <t>(1) Input the name. location, and velocity data from three GPS sites in the yellow cells.</t>
  </si>
  <si>
    <t>(2) When the required data have been input, the answers will appear in the Output Data section (blue cells).</t>
  </si>
  <si>
    <t>Initial Input Data</t>
  </si>
  <si>
    <t>Site</t>
  </si>
  <si>
    <t>E velocity</t>
  </si>
  <si>
    <t>E vel uncert</t>
  </si>
  <si>
    <t>N velocity</t>
  </si>
  <si>
    <t>N vel uncert</t>
  </si>
  <si>
    <t>Name</t>
  </si>
  <si>
    <t>Translation Vector</t>
  </si>
  <si>
    <t>Azimuth (degrees)</t>
  </si>
  <si>
    <t>Speed (m/yr)</t>
  </si>
  <si>
    <t>Lagrangian strain-rate tensor</t>
  </si>
  <si>
    <t>Direction of rotation</t>
  </si>
  <si>
    <t>Max shear strain (nano-strain)</t>
  </si>
  <si>
    <t>Azimuth of S2H (degrees)</t>
  </si>
  <si>
    <t>Azimuth of S1H (degrees)</t>
  </si>
  <si>
    <t>Area strain (nano-strain)</t>
  </si>
  <si>
    <t>Computation</t>
  </si>
  <si>
    <t>center of triangle</t>
  </si>
  <si>
    <t>revised locations</t>
  </si>
  <si>
    <t>Easting</t>
  </si>
  <si>
    <t>Northing</t>
  </si>
  <si>
    <t>matrix m1</t>
  </si>
  <si>
    <t>matrix m2</t>
  </si>
  <si>
    <t>matrix m3</t>
  </si>
  <si>
    <t>matrix m4</t>
  </si>
  <si>
    <t>matrix m5</t>
  </si>
  <si>
    <t>translation vector</t>
  </si>
  <si>
    <t>x coordinate</t>
  </si>
  <si>
    <t>y coordinate</t>
  </si>
  <si>
    <t>total vector</t>
  </si>
  <si>
    <t>north unit vector</t>
  </si>
  <si>
    <t>angle between north vector and unit trans vector</t>
  </si>
  <si>
    <t>azimuth of trans vect (degrees clockwise from north)</t>
  </si>
  <si>
    <t>matrix m6</t>
  </si>
  <si>
    <t>eigenvalue A</t>
  </si>
  <si>
    <t>eigenvalue B</t>
  </si>
  <si>
    <t>Eigen system</t>
  </si>
  <si>
    <t>e1</t>
  </si>
  <si>
    <t>e2</t>
  </si>
  <si>
    <t>unit eigenvector assoc with e1</t>
  </si>
  <si>
    <t>unit eigenvector assoc with e2</t>
  </si>
  <si>
    <t>unit translation vector</t>
  </si>
  <si>
    <t>magnitude of translation vector, or speed (m/yr)</t>
  </si>
  <si>
    <t>degrees</t>
  </si>
  <si>
    <t>angle between north vector and e1 unit eigenvector</t>
  </si>
  <si>
    <t>azimuth of e1 unit eigenvector</t>
  </si>
  <si>
    <t>alternate  azimuth of e1 unit eigenvector</t>
  </si>
  <si>
    <t>angle between north vector and e2 unit eigenvector</t>
  </si>
  <si>
    <t>azimuth of e2 unit eigenvector</t>
  </si>
  <si>
    <t>alternate  azimuth of e2 unit eigenvector</t>
  </si>
  <si>
    <t>maximum infinitesimal shear strain</t>
  </si>
  <si>
    <t>area strain</t>
  </si>
  <si>
    <t>first invariant of the infinitesimal strain rate tensor</t>
  </si>
  <si>
    <t>second invariant of the infinitesimal strain rate tensor</t>
  </si>
  <si>
    <t>third invariant of the infinitesimal strain rate tensor</t>
  </si>
  <si>
    <t>matrix m8</t>
  </si>
  <si>
    <t>matrix 9.1 = m7 . m2</t>
  </si>
  <si>
    <t>matrix 9.2 = m8 . matrix9.1</t>
  </si>
  <si>
    <t>matrix m9</t>
  </si>
  <si>
    <r>
      <rPr>
        <sz val="12"/>
        <color indexed="8"/>
        <rFont val="Symbol"/>
        <charset val="2"/>
      </rPr>
      <t>e</t>
    </r>
    <r>
      <rPr>
        <sz val="12"/>
        <color theme="1"/>
        <rFont val="Calibri"/>
        <family val="2"/>
        <scheme val="minor"/>
      </rPr>
      <t>xx ± uncert (nano-strain)</t>
    </r>
  </si>
  <si>
    <r>
      <rPr>
        <sz val="12"/>
        <color indexed="8"/>
        <rFont val="Symbol"/>
        <charset val="2"/>
      </rPr>
      <t>e</t>
    </r>
    <r>
      <rPr>
        <sz val="12"/>
        <color theme="1"/>
        <rFont val="Calibri"/>
        <family val="2"/>
        <scheme val="minor"/>
      </rPr>
      <t>xy ± uncert (nano-strain)</t>
    </r>
  </si>
  <si>
    <r>
      <rPr>
        <sz val="12"/>
        <color indexed="8"/>
        <rFont val="Symbol"/>
        <charset val="2"/>
      </rPr>
      <t>e</t>
    </r>
    <r>
      <rPr>
        <sz val="12"/>
        <color theme="1"/>
        <rFont val="Calibri"/>
        <family val="2"/>
        <scheme val="minor"/>
      </rPr>
      <t>yy ± uncert (nano-strain)</t>
    </r>
  </si>
  <si>
    <t>Longitude</t>
  </si>
  <si>
    <t>west is negative</t>
  </si>
  <si>
    <t>Latitude</t>
  </si>
  <si>
    <t>south is negative</t>
  </si>
  <si>
    <t>Primary Output Data</t>
  </si>
  <si>
    <t>Other Output</t>
  </si>
  <si>
    <t>E component ± uncert (m/yr)</t>
  </si>
  <si>
    <t>N component ± uncert (m/yr)</t>
  </si>
  <si>
    <t>Rotation ± uncertainty (degrees/yr)</t>
  </si>
  <si>
    <t>±</t>
  </si>
  <si>
    <t>or</t>
  </si>
  <si>
    <t>latitude in radians</t>
  </si>
  <si>
    <t>longitude in radians</t>
  </si>
  <si>
    <t>UTM zone</t>
  </si>
  <si>
    <t>central meridian of zone (long0)</t>
  </si>
  <si>
    <t>central meridian of zone to the west (the "pseudo" zone)</t>
  </si>
  <si>
    <t>UTM "pseudo" zone</t>
  </si>
  <si>
    <t>a (WGS84 datum)</t>
  </si>
  <si>
    <t>b (WGS84 datum)</t>
  </si>
  <si>
    <r>
      <t>k</t>
    </r>
    <r>
      <rPr>
        <vertAlign val="subscript"/>
        <sz val="12"/>
        <color indexed="8"/>
        <rFont val="Calibri"/>
        <family val="2"/>
      </rPr>
      <t>0</t>
    </r>
  </si>
  <si>
    <t>e</t>
  </si>
  <si>
    <r>
      <t>e'</t>
    </r>
    <r>
      <rPr>
        <vertAlign val="superscript"/>
        <sz val="12"/>
        <color indexed="8"/>
        <rFont val="Calibri"/>
        <family val="2"/>
      </rPr>
      <t>2</t>
    </r>
  </si>
  <si>
    <t>n</t>
  </si>
  <si>
    <t>rho</t>
  </si>
  <si>
    <t>nu</t>
  </si>
  <si>
    <t>p</t>
  </si>
  <si>
    <t>m1</t>
  </si>
  <si>
    <t>m2</t>
  </si>
  <si>
    <t>M</t>
  </si>
  <si>
    <t>m3</t>
  </si>
  <si>
    <t>m4</t>
  </si>
  <si>
    <t>K1</t>
  </si>
  <si>
    <t>K2</t>
  </si>
  <si>
    <t>K3</t>
  </si>
  <si>
    <t>K4</t>
  </si>
  <si>
    <t>K5</t>
  </si>
  <si>
    <t>northing</t>
  </si>
  <si>
    <t>easting</t>
  </si>
  <si>
    <t>true northing</t>
  </si>
  <si>
    <t>true easting</t>
  </si>
  <si>
    <t>pseudo northing (rel to zone to the west)</t>
  </si>
  <si>
    <t>pseudo p</t>
  </si>
  <si>
    <t>Site name</t>
  </si>
  <si>
    <t>Westernmost zone #</t>
  </si>
  <si>
    <t>UTM coordinates relative to the westernmost zone, to be used in strain analysis</t>
  </si>
  <si>
    <t>pseudo easting (rel to zone to the east)</t>
  </si>
  <si>
    <t>mean easting</t>
  </si>
  <si>
    <t>mean northing</t>
  </si>
  <si>
    <t>Max horizontal extension (e1H)   (nano-strain)</t>
  </si>
  <si>
    <t>Min horizontal extension (e2H)    (nano-strain)</t>
  </si>
  <si>
    <t>First invariant of strain-rate tensor                      (nano-strain)</t>
  </si>
  <si>
    <t>Second invariant of strain-rate tensor                 (nano-strain)</t>
  </si>
  <si>
    <t>Third invariant of strain-rate tensor                     (nano-strain)</t>
  </si>
  <si>
    <t>(mm/yr)</t>
  </si>
  <si>
    <t>velocities converted from mm/yr to m/yr</t>
  </si>
  <si>
    <t>elipse for visualization</t>
  </si>
  <si>
    <t>x</t>
  </si>
  <si>
    <t>y</t>
  </si>
  <si>
    <t>x0</t>
  </si>
  <si>
    <t>y0</t>
  </si>
  <si>
    <t>xp</t>
  </si>
  <si>
    <t>yp</t>
  </si>
  <si>
    <t>m/yr</t>
  </si>
  <si>
    <t>strain</t>
  </si>
  <si>
    <t>matrix m7  (units of mm/yr)</t>
  </si>
  <si>
    <t>Rotation ± uncertainty (nano-radian/yr)</t>
  </si>
  <si>
    <t>P146</t>
  </si>
  <si>
    <t>P149</t>
  </si>
  <si>
    <t>P150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</si>
</sst>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0"/>
    <numFmt numFmtId="166" formatCode="[$-409]mmmm\ d\,\ yyyy;@"/>
    <numFmt numFmtId="167" formatCode="0.000"/>
    <numFmt numFmtId="168" formatCode="0.00000"/>
    <numFmt numFmtId="169" formatCode="0.000E+00"/>
    <numFmt numFmtId="170" formatCode="0.0000E+00"/>
  </numFmts>
  <fonts count="8" x14ac:knownFonts="1">
    <font>
      <sz val="12"/>
      <color theme="1"/>
      <name val="Calibri"/>
      <family val="2"/>
      <scheme val="minor"/>
    </font>
    <font>
      <sz val="12"/>
      <color indexed="8"/>
      <name val="Symbol"/>
      <charset val="2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FE6FF"/>
        <bgColor indexed="64"/>
      </patternFill>
    </fill>
    <fill>
      <patternFill patternType="solid">
        <fgColor rgb="FFFCFED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 applyAlignment="1">
      <alignment horizontal="right"/>
    </xf>
    <xf numFmtId="165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165" fontId="0" fillId="2" borderId="10" xfId="0" applyNumberForma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left"/>
    </xf>
    <xf numFmtId="165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2" borderId="14" xfId="0" applyFont="1" applyFill="1" applyBorder="1"/>
    <xf numFmtId="0" fontId="0" fillId="2" borderId="15" xfId="0" applyFill="1" applyBorder="1" applyAlignment="1">
      <alignment horizontal="left"/>
    </xf>
    <xf numFmtId="0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/>
    <xf numFmtId="165" fontId="0" fillId="2" borderId="18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/>
    <xf numFmtId="0" fontId="4" fillId="0" borderId="0" xfId="0" applyFont="1"/>
    <xf numFmtId="0" fontId="0" fillId="0" borderId="0" xfId="0" applyFont="1"/>
    <xf numFmtId="0" fontId="0" fillId="2" borderId="15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0" applyNumberFormat="1" applyFont="1"/>
    <xf numFmtId="0" fontId="0" fillId="0" borderId="0" xfId="0" applyFill="1" applyBorder="1" applyAlignment="1">
      <alignment horizontal="right"/>
    </xf>
    <xf numFmtId="167" fontId="0" fillId="0" borderId="0" xfId="0" applyNumberFormat="1" applyFont="1"/>
    <xf numFmtId="1" fontId="0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2" fontId="0" fillId="0" borderId="0" xfId="0" applyNumberFormat="1" applyFont="1"/>
    <xf numFmtId="0" fontId="0" fillId="2" borderId="9" xfId="0" applyFill="1" applyBorder="1" applyAlignment="1">
      <alignment horizontal="left" wrapText="1"/>
    </xf>
    <xf numFmtId="165" fontId="0" fillId="2" borderId="9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166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0" applyNumberFormat="1"/>
    <xf numFmtId="165" fontId="0" fillId="0" borderId="0" xfId="0" applyNumberFormat="1"/>
    <xf numFmtId="0" fontId="0" fillId="3" borderId="20" xfId="0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69" fontId="0" fillId="2" borderId="9" xfId="0" applyNumberFormat="1" applyFill="1" applyBorder="1" applyAlignment="1">
      <alignment horizontal="center"/>
    </xf>
    <xf numFmtId="169" fontId="0" fillId="2" borderId="10" xfId="0" applyNumberFormat="1" applyFill="1" applyBorder="1" applyAlignment="1">
      <alignment horizontal="center"/>
    </xf>
    <xf numFmtId="168" fontId="0" fillId="3" borderId="20" xfId="0" applyNumberFormat="1" applyFill="1" applyBorder="1" applyProtection="1">
      <protection locked="0"/>
    </xf>
    <xf numFmtId="170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Strain ellipse (exaggerated by 1e6)</a:t>
            </a:r>
          </a:p>
        </c:rich>
      </c:tx>
      <c:layout>
        <c:manualLayout>
          <c:xMode val="edge"/>
          <c:yMode val="edge"/>
          <c:x val="0.14836010200429492"/>
          <c:y val="3.438834851525912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673697569869598E-2"/>
          <c:y val="8.7695631924964004E-2"/>
          <c:w val="0.72679757255087696"/>
          <c:h val="0.87962962962962998"/>
        </c:manualLayout>
      </c:layout>
      <c:scatterChart>
        <c:scatterStyle val="smoothMarker"/>
        <c:varyColors val="0"/>
        <c:ser>
          <c:idx val="0"/>
          <c:order val="0"/>
          <c:tx>
            <c:v>initial</c:v>
          </c:tx>
          <c:marker>
            <c:symbol val="none"/>
          </c:marker>
          <c:xVal>
            <c:numRef>
              <c:f>Sheet1!$C$214:$C$234</c:f>
              <c:numCache>
                <c:formatCode>General</c:formatCode>
                <c:ptCount val="21"/>
                <c:pt idx="0">
                  <c:v>1</c:v>
                </c:pt>
                <c:pt idx="1">
                  <c:v>0.95105651629515353</c:v>
                </c:pt>
                <c:pt idx="2">
                  <c:v>0.80901699437494745</c:v>
                </c:pt>
                <c:pt idx="3">
                  <c:v>0.58778525229247314</c:v>
                </c:pt>
                <c:pt idx="4">
                  <c:v>0.30901699437494745</c:v>
                </c:pt>
                <c:pt idx="5">
                  <c:v>6.1257422745431001E-17</c:v>
                </c:pt>
                <c:pt idx="6">
                  <c:v>-0.30901699437494734</c:v>
                </c:pt>
                <c:pt idx="7">
                  <c:v>-0.58778525229247303</c:v>
                </c:pt>
                <c:pt idx="8">
                  <c:v>-0.80901699437494734</c:v>
                </c:pt>
                <c:pt idx="9">
                  <c:v>-0.95105651629515353</c:v>
                </c:pt>
                <c:pt idx="10">
                  <c:v>-1</c:v>
                </c:pt>
                <c:pt idx="11">
                  <c:v>-0.95105651629515364</c:v>
                </c:pt>
                <c:pt idx="12">
                  <c:v>-0.80901699437494756</c:v>
                </c:pt>
                <c:pt idx="13">
                  <c:v>-0.58778525229247325</c:v>
                </c:pt>
                <c:pt idx="14">
                  <c:v>-0.30901699437494756</c:v>
                </c:pt>
                <c:pt idx="15">
                  <c:v>-1.83772268236293E-16</c:v>
                </c:pt>
                <c:pt idx="16">
                  <c:v>0.30901699437494723</c:v>
                </c:pt>
                <c:pt idx="17">
                  <c:v>0.58778525229247292</c:v>
                </c:pt>
                <c:pt idx="18">
                  <c:v>0.80901699437494734</c:v>
                </c:pt>
                <c:pt idx="19">
                  <c:v>0.95105651629515353</c:v>
                </c:pt>
                <c:pt idx="20">
                  <c:v>1</c:v>
                </c:pt>
              </c:numCache>
            </c:numRef>
          </c:xVal>
          <c:yVal>
            <c:numRef>
              <c:f>Sheet1!$D$214:$D$234</c:f>
              <c:numCache>
                <c:formatCode>General</c:formatCode>
                <c:ptCount val="21"/>
                <c:pt idx="0">
                  <c:v>0</c:v>
                </c:pt>
                <c:pt idx="1">
                  <c:v>0.3090169943749474</c:v>
                </c:pt>
                <c:pt idx="2">
                  <c:v>0.58778525229247314</c:v>
                </c:pt>
                <c:pt idx="3">
                  <c:v>0.80901699437494745</c:v>
                </c:pt>
                <c:pt idx="4">
                  <c:v>0.95105651629515353</c:v>
                </c:pt>
                <c:pt idx="5">
                  <c:v>1</c:v>
                </c:pt>
                <c:pt idx="6">
                  <c:v>0.95105651629515364</c:v>
                </c:pt>
                <c:pt idx="7">
                  <c:v>0.80901699437494745</c:v>
                </c:pt>
                <c:pt idx="8">
                  <c:v>0.58778525229247325</c:v>
                </c:pt>
                <c:pt idx="9">
                  <c:v>0.30901699437494751</c:v>
                </c:pt>
                <c:pt idx="10">
                  <c:v>1.22514845490862E-16</c:v>
                </c:pt>
                <c:pt idx="11">
                  <c:v>-0.30901699437494728</c:v>
                </c:pt>
                <c:pt idx="12">
                  <c:v>-0.58778525229247303</c:v>
                </c:pt>
                <c:pt idx="13">
                  <c:v>-0.80901699437494734</c:v>
                </c:pt>
                <c:pt idx="14">
                  <c:v>-0.95105651629515353</c:v>
                </c:pt>
                <c:pt idx="15">
                  <c:v>-1</c:v>
                </c:pt>
                <c:pt idx="16">
                  <c:v>-0.95105651629515364</c:v>
                </c:pt>
                <c:pt idx="17">
                  <c:v>-0.80901699437494756</c:v>
                </c:pt>
                <c:pt idx="18">
                  <c:v>-0.58778525229247336</c:v>
                </c:pt>
                <c:pt idx="19">
                  <c:v>-0.30901699437494762</c:v>
                </c:pt>
                <c:pt idx="20">
                  <c:v>-2.45029690981724E-16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A5-BC49-B2C1-5FF4B01436F4}"/>
            </c:ext>
          </c:extLst>
        </c:ser>
        <c:ser>
          <c:idx val="1"/>
          <c:order val="1"/>
          <c:tx>
            <c:v>final</c:v>
          </c:tx>
          <c:marker>
            <c:symbol val="none"/>
          </c:marker>
          <c:xVal>
            <c:numRef>
              <c:f>Sheet1!$G$214:$G$234</c:f>
              <c:numCache>
                <c:formatCode>General</c:formatCode>
                <c:ptCount val="21"/>
                <c:pt idx="0">
                  <c:v>1.0090124421146303</c:v>
                </c:pt>
                <c:pt idx="1">
                  <c:v>0.92705008379265585</c:v>
                </c:pt>
                <c:pt idx="2">
                  <c:v>0.7543416041313169</c:v>
                </c:pt>
                <c:pt idx="3">
                  <c:v>0.50779291245060032</c:v>
                </c:pt>
                <c:pt idx="4">
                  <c:v>0.21153791249795878</c:v>
                </c:pt>
                <c:pt idx="5">
                  <c:v>-0.10542389220128494</c:v>
                </c:pt>
                <c:pt idx="6">
                  <c:v>-0.41206607180041849</c:v>
                </c:pt>
                <c:pt idx="7">
                  <c:v>-0.67837235325858436</c:v>
                </c:pt>
                <c:pt idx="8">
                  <c:v>-0.8782748222816904</c:v>
                </c:pt>
                <c:pt idx="9">
                  <c:v>-0.99220563239935489</c:v>
                </c:pt>
                <c:pt idx="10">
                  <c:v>-1.0090124421146303</c:v>
                </c:pt>
                <c:pt idx="11">
                  <c:v>-0.92705008379265597</c:v>
                </c:pt>
                <c:pt idx="12">
                  <c:v>-0.75434160413131701</c:v>
                </c:pt>
                <c:pt idx="13">
                  <c:v>-0.50779291245060043</c:v>
                </c:pt>
                <c:pt idx="14">
                  <c:v>-0.21153791249795889</c:v>
                </c:pt>
                <c:pt idx="15">
                  <c:v>0.10542389220128481</c:v>
                </c:pt>
                <c:pt idx="16">
                  <c:v>0.41206607180041838</c:v>
                </c:pt>
                <c:pt idx="17">
                  <c:v>0.67837235325858425</c:v>
                </c:pt>
                <c:pt idx="18">
                  <c:v>0.8782748222816904</c:v>
                </c:pt>
                <c:pt idx="19">
                  <c:v>0.99220563239935489</c:v>
                </c:pt>
                <c:pt idx="20">
                  <c:v>1.0090124421146303</c:v>
                </c:pt>
              </c:numCache>
            </c:numRef>
          </c:xVal>
          <c:yVal>
            <c:numRef>
              <c:f>Sheet1!$H$214:$H$234</c:f>
              <c:numCache>
                <c:formatCode>General</c:formatCode>
                <c:ptCount val="21"/>
                <c:pt idx="0">
                  <c:v>0.10967444971392745</c:v>
                </c:pt>
                <c:pt idx="1">
                  <c:v>0.40402435287741545</c:v>
                </c:pt>
                <c:pt idx="2">
                  <c:v>0.65882553737806959</c:v>
                </c:pt>
                <c:pt idx="3">
                  <c:v>0.84913628797272334</c:v>
                </c:pt>
                <c:pt idx="4">
                  <c:v>0.95632766242020339</c:v>
                </c:pt>
                <c:pt idx="5">
                  <c:v>0.96990702214336943</c:v>
                </c:pt>
                <c:pt idx="6">
                  <c:v>0.88854512479955505</c:v>
                </c:pt>
                <c:pt idx="7">
                  <c:v>0.72020623978244536</c:v>
                </c:pt>
                <c:pt idx="8">
                  <c:v>0.48136855004349394</c:v>
                </c:pt>
                <c:pt idx="9">
                  <c:v>0.19541115273438384</c:v>
                </c:pt>
                <c:pt idx="10">
                  <c:v>-0.10967444971392733</c:v>
                </c:pt>
                <c:pt idx="11">
                  <c:v>-0.40402435287741534</c:v>
                </c:pt>
                <c:pt idx="12">
                  <c:v>-0.65882553737806959</c:v>
                </c:pt>
                <c:pt idx="13">
                  <c:v>-0.84913628797272322</c:v>
                </c:pt>
                <c:pt idx="14">
                  <c:v>-0.95632766242020339</c:v>
                </c:pt>
                <c:pt idx="15">
                  <c:v>-0.96990702214336943</c:v>
                </c:pt>
                <c:pt idx="16">
                  <c:v>-0.88854512479955516</c:v>
                </c:pt>
                <c:pt idx="17">
                  <c:v>-0.72020623978244547</c:v>
                </c:pt>
                <c:pt idx="18">
                  <c:v>-0.48136855004349405</c:v>
                </c:pt>
                <c:pt idx="19">
                  <c:v>-0.19541115273438395</c:v>
                </c:pt>
                <c:pt idx="20">
                  <c:v>0.10967444971392722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A5-BC49-B2C1-5FF4B0143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040144"/>
        <c:axId val="1"/>
      </c:scatterChart>
      <c:valAx>
        <c:axId val="401040144"/>
        <c:scaling>
          <c:orientation val="minMax"/>
          <c:max val="2"/>
          <c:min val="-2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"/>
          <c:min val="-2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1040144"/>
        <c:crosses val="autoZero"/>
        <c:crossBetween val="midCat"/>
        <c:majorUnit val="1"/>
        <c:minorUnit val="0.1"/>
      </c:valAx>
      <c:spPr>
        <a:ln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14</xdr:row>
      <xdr:rowOff>50800</xdr:rowOff>
    </xdr:from>
    <xdr:to>
      <xdr:col>9</xdr:col>
      <xdr:colOff>749300</xdr:colOff>
      <xdr:row>33</xdr:row>
      <xdr:rowOff>0</xdr:rowOff>
    </xdr:to>
    <xdr:graphicFrame macro="">
      <xdr:nvGraphicFramePr>
        <xdr:cNvPr id="1033" name="Chart 2">
          <a:extLst>
            <a:ext uri="{FF2B5EF4-FFF2-40B4-BE49-F238E27FC236}">
              <a16:creationId xmlns:a16="http://schemas.microsoft.com/office/drawing/2014/main" id="{1E92053A-B4A0-7E4A-BA99-35D171B87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4"/>
  <sheetViews>
    <sheetView tabSelected="1" zoomScale="126" zoomScaleNormal="126" zoomScalePageLayoutView="125" workbookViewId="0">
      <selection activeCell="K8" sqref="K8"/>
    </sheetView>
  </sheetViews>
  <sheetFormatPr baseColWidth="10" defaultRowHeight="16" x14ac:dyDescent="0.2"/>
  <cols>
    <col min="2" max="2" width="40.33203125" customWidth="1"/>
    <col min="3" max="3" width="15" customWidth="1"/>
    <col min="4" max="4" width="14.83203125" customWidth="1"/>
    <col min="5" max="5" width="13.33203125" customWidth="1"/>
    <col min="6" max="6" width="12.5" customWidth="1"/>
    <col min="7" max="7" width="12.33203125" customWidth="1"/>
    <col min="8" max="8" width="16.1640625" customWidth="1"/>
  </cols>
  <sheetData>
    <row r="1" spans="1:8" s="5" customFormat="1" ht="21" x14ac:dyDescent="0.25">
      <c r="A1" s="5" t="s">
        <v>0</v>
      </c>
      <c r="H1" s="56">
        <v>44794</v>
      </c>
    </row>
    <row r="2" spans="1:8" x14ac:dyDescent="0.2">
      <c r="B2" t="s">
        <v>1</v>
      </c>
    </row>
    <row r="4" spans="1:8" ht="19" x14ac:dyDescent="0.25">
      <c r="A4" s="4" t="s">
        <v>2</v>
      </c>
    </row>
    <row r="5" spans="1:8" x14ac:dyDescent="0.2">
      <c r="B5" t="s">
        <v>3</v>
      </c>
    </row>
    <row r="6" spans="1:8" x14ac:dyDescent="0.2">
      <c r="B6" t="s">
        <v>4</v>
      </c>
    </row>
    <row r="8" spans="1:8" ht="19" x14ac:dyDescent="0.25">
      <c r="A8" s="4" t="s">
        <v>5</v>
      </c>
    </row>
    <row r="9" spans="1:8" x14ac:dyDescent="0.2">
      <c r="B9" s="3" t="s">
        <v>6</v>
      </c>
      <c r="C9" s="3" t="s">
        <v>67</v>
      </c>
      <c r="D9" s="3" t="s">
        <v>69</v>
      </c>
      <c r="E9" s="3" t="s">
        <v>7</v>
      </c>
      <c r="F9" s="3" t="s">
        <v>8</v>
      </c>
      <c r="G9" s="3" t="s">
        <v>9</v>
      </c>
      <c r="H9" s="3" t="s">
        <v>10</v>
      </c>
    </row>
    <row r="10" spans="1:8" ht="29" customHeight="1" x14ac:dyDescent="0.2">
      <c r="B10" s="11" t="s">
        <v>11</v>
      </c>
      <c r="C10" s="10" t="s">
        <v>68</v>
      </c>
      <c r="D10" s="10" t="s">
        <v>70</v>
      </c>
      <c r="E10" s="11" t="s">
        <v>120</v>
      </c>
      <c r="F10" s="11" t="s">
        <v>120</v>
      </c>
      <c r="G10" s="11" t="s">
        <v>120</v>
      </c>
      <c r="H10" s="11" t="s">
        <v>120</v>
      </c>
    </row>
    <row r="11" spans="1:8" x14ac:dyDescent="0.2">
      <c r="B11" s="61" t="s">
        <v>133</v>
      </c>
      <c r="C11" s="65">
        <v>-120.5373005686</v>
      </c>
      <c r="D11" s="65">
        <v>39.337463680299997</v>
      </c>
      <c r="E11" s="62">
        <v>-9.0299999999999994</v>
      </c>
      <c r="F11" s="62">
        <v>0.06</v>
      </c>
      <c r="G11" s="62">
        <v>7.42</v>
      </c>
      <c r="H11" s="62">
        <v>7.0000000000000007E-2</v>
      </c>
    </row>
    <row r="12" spans="1:8" x14ac:dyDescent="0.2">
      <c r="B12" s="61" t="s">
        <v>134</v>
      </c>
      <c r="C12" s="65">
        <v>-120.1049757576</v>
      </c>
      <c r="D12" s="65">
        <v>39.602129996099997</v>
      </c>
      <c r="E12" s="62">
        <v>-7.75</v>
      </c>
      <c r="F12" s="62">
        <v>0.06</v>
      </c>
      <c r="G12" s="62">
        <v>6.1</v>
      </c>
      <c r="H12" s="62">
        <v>0.04</v>
      </c>
    </row>
    <row r="13" spans="1:8" x14ac:dyDescent="0.2">
      <c r="B13" s="61" t="s">
        <v>135</v>
      </c>
      <c r="C13" s="65">
        <v>-120.03385434090001</v>
      </c>
      <c r="D13" s="65">
        <v>39.292380384600001</v>
      </c>
      <c r="E13" s="62">
        <v>-8.49</v>
      </c>
      <c r="F13" s="62">
        <v>0.06</v>
      </c>
      <c r="G13" s="62">
        <v>6.8</v>
      </c>
      <c r="H13" s="62">
        <v>0.03</v>
      </c>
    </row>
    <row r="14" spans="1:8" ht="17" thickBot="1" x14ac:dyDescent="0.25"/>
    <row r="15" spans="1:8" ht="20" thickTop="1" x14ac:dyDescent="0.25">
      <c r="A15" s="12" t="s">
        <v>71</v>
      </c>
      <c r="B15" s="13"/>
      <c r="C15" s="13"/>
      <c r="D15" s="13"/>
      <c r="E15" s="14"/>
    </row>
    <row r="16" spans="1:8" x14ac:dyDescent="0.2">
      <c r="A16" s="15"/>
      <c r="B16" s="16" t="s">
        <v>12</v>
      </c>
      <c r="C16" s="17"/>
      <c r="D16" s="17"/>
      <c r="E16" s="18"/>
    </row>
    <row r="17" spans="1:5" x14ac:dyDescent="0.2">
      <c r="A17" s="15"/>
      <c r="B17" s="19" t="s">
        <v>73</v>
      </c>
      <c r="C17" s="20">
        <f>C130</f>
        <v>-8.4233333333333348E-3</v>
      </c>
      <c r="D17" s="21" t="s">
        <v>76</v>
      </c>
      <c r="E17" s="66">
        <f>SQRT(C205)*0.001</f>
        <v>3.4641016151377547E-5</v>
      </c>
    </row>
    <row r="18" spans="1:5" x14ac:dyDescent="0.2">
      <c r="A18" s="15"/>
      <c r="B18" s="19" t="s">
        <v>74</v>
      </c>
      <c r="C18" s="20">
        <f>C131</f>
        <v>6.7733333333333335E-3</v>
      </c>
      <c r="D18" s="21" t="s">
        <v>76</v>
      </c>
      <c r="E18" s="66">
        <f>SQRT(D206)*0.001</f>
        <v>2.8674417556808794E-5</v>
      </c>
    </row>
    <row r="19" spans="1:5" x14ac:dyDescent="0.2">
      <c r="A19" s="15"/>
      <c r="B19" s="19" t="s">
        <v>13</v>
      </c>
      <c r="C19" s="23">
        <f>C149</f>
        <v>308.80330265786216</v>
      </c>
      <c r="D19" s="21"/>
      <c r="E19" s="22"/>
    </row>
    <row r="20" spans="1:5" x14ac:dyDescent="0.2">
      <c r="A20" s="15"/>
      <c r="B20" s="19" t="s">
        <v>14</v>
      </c>
      <c r="C20" s="20">
        <f>C143</f>
        <v>1.0808819958204915E-2</v>
      </c>
      <c r="D20" s="21"/>
      <c r="E20" s="22"/>
    </row>
    <row r="21" spans="1:5" x14ac:dyDescent="0.2">
      <c r="A21" s="15"/>
      <c r="B21" s="24" t="s">
        <v>75</v>
      </c>
      <c r="C21" s="63">
        <f>C132*(180/PI())</f>
        <v>-1.1740351531074144E-6</v>
      </c>
      <c r="D21" s="21" t="s">
        <v>76</v>
      </c>
      <c r="E21" s="64">
        <f>SQRT(E207)*(180/PI())</f>
        <v>8.3927081548044262E-5</v>
      </c>
    </row>
    <row r="22" spans="1:5" x14ac:dyDescent="0.2">
      <c r="A22" s="15"/>
      <c r="B22" s="19" t="s">
        <v>132</v>
      </c>
      <c r="C22" s="20">
        <f>C132*(10^9)</f>
        <v>-20.490778955880117</v>
      </c>
      <c r="D22" s="21" t="s">
        <v>76</v>
      </c>
      <c r="E22" s="66">
        <f>SQRT(E207)/10^-9</f>
        <v>1464.8039046031518</v>
      </c>
    </row>
    <row r="23" spans="1:5" x14ac:dyDescent="0.2">
      <c r="A23" s="15"/>
      <c r="B23" s="19" t="s">
        <v>16</v>
      </c>
      <c r="C23" s="21" t="str">
        <f>IF((C22&lt;0),"clockwise","anti-clockwise")</f>
        <v>clockwise</v>
      </c>
      <c r="D23" s="20"/>
      <c r="E23" s="25"/>
    </row>
    <row r="24" spans="1:5" x14ac:dyDescent="0.2">
      <c r="A24" s="15"/>
      <c r="B24" s="24" t="s">
        <v>115</v>
      </c>
      <c r="C24" s="20">
        <f>C157*(10^9)</f>
        <v>14.955463684088365</v>
      </c>
      <c r="D24" s="21"/>
      <c r="E24" s="22"/>
    </row>
    <row r="25" spans="1:5" x14ac:dyDescent="0.2">
      <c r="A25" s="15"/>
      <c r="B25" s="19" t="s">
        <v>19</v>
      </c>
      <c r="C25" s="68">
        <f>C165</f>
        <v>83.796597878050505</v>
      </c>
      <c r="D25" s="21" t="s">
        <v>77</v>
      </c>
      <c r="E25" s="67">
        <f>C166</f>
        <v>263.79659787805053</v>
      </c>
    </row>
    <row r="26" spans="1:5" x14ac:dyDescent="0.2">
      <c r="A26" s="15"/>
      <c r="B26" s="24" t="s">
        <v>116</v>
      </c>
      <c r="C26" s="20">
        <f>C158*(10^9)</f>
        <v>-24.380284818984112</v>
      </c>
      <c r="D26" s="21"/>
      <c r="E26" s="22"/>
    </row>
    <row r="27" spans="1:5" x14ac:dyDescent="0.2">
      <c r="A27" s="15"/>
      <c r="B27" s="19" t="s">
        <v>18</v>
      </c>
      <c r="C27" s="68">
        <f>C168</f>
        <v>173.79659787805053</v>
      </c>
      <c r="D27" s="21" t="s">
        <v>77</v>
      </c>
      <c r="E27" s="67">
        <f>C169</f>
        <v>353.79659787805053</v>
      </c>
    </row>
    <row r="28" spans="1:5" x14ac:dyDescent="0.2">
      <c r="A28" s="15"/>
      <c r="B28" s="24" t="s">
        <v>17</v>
      </c>
      <c r="C28" s="20">
        <f>C171*(10^9)</f>
        <v>39.335748503072473</v>
      </c>
      <c r="D28" s="21"/>
      <c r="E28" s="22"/>
    </row>
    <row r="29" spans="1:5" ht="17" thickBot="1" x14ac:dyDescent="0.25">
      <c r="A29" s="26"/>
      <c r="B29" s="27" t="s">
        <v>20</v>
      </c>
      <c r="C29" s="28">
        <f>C172*(10^9)</f>
        <v>-9.4248211348957458</v>
      </c>
      <c r="D29" s="29"/>
      <c r="E29" s="30"/>
    </row>
    <row r="30" spans="1:5" ht="17" thickTop="1" x14ac:dyDescent="0.2"/>
    <row r="31" spans="1:5" x14ac:dyDescent="0.2">
      <c r="A31" s="31" t="s">
        <v>72</v>
      </c>
      <c r="B31" s="32"/>
      <c r="C31" s="33"/>
      <c r="D31" s="41"/>
      <c r="E31" s="34"/>
    </row>
    <row r="32" spans="1:5" x14ac:dyDescent="0.2">
      <c r="A32" s="35"/>
      <c r="B32" s="24" t="s">
        <v>15</v>
      </c>
      <c r="C32" s="21"/>
      <c r="D32" s="20"/>
      <c r="E32" s="36"/>
    </row>
    <row r="33" spans="1:5" x14ac:dyDescent="0.2">
      <c r="A33" s="35"/>
      <c r="B33" s="19" t="s">
        <v>64</v>
      </c>
      <c r="C33" s="20">
        <f>C133*(10^9)</f>
        <v>14.496155297802789</v>
      </c>
      <c r="D33" s="20" t="s">
        <v>76</v>
      </c>
      <c r="E33" s="36">
        <f>SQRT(F208)*(10^9)</f>
        <v>1885.4517303911016</v>
      </c>
    </row>
    <row r="34" spans="1:5" x14ac:dyDescent="0.2">
      <c r="A34" s="35"/>
      <c r="B34" s="19" t="s">
        <v>65</v>
      </c>
      <c r="C34" s="20">
        <f>C134*(10^9)</f>
        <v>4.2256685831438965</v>
      </c>
      <c r="D34" s="20" t="s">
        <v>76</v>
      </c>
      <c r="E34" s="36">
        <f>SQRT(G209)*(10^9)</f>
        <v>1464.803904603152</v>
      </c>
    </row>
    <row r="35" spans="1:5" x14ac:dyDescent="0.2">
      <c r="A35" s="35"/>
      <c r="B35" s="19" t="s">
        <v>66</v>
      </c>
      <c r="C35" s="20">
        <f>C135*(10^9)</f>
        <v>-23.920976432698534</v>
      </c>
      <c r="D35" s="20" t="s">
        <v>76</v>
      </c>
      <c r="E35" s="36">
        <f>SQRT(H210)*(10^9)</f>
        <v>1447.4176160384545</v>
      </c>
    </row>
    <row r="36" spans="1:5" ht="35" customHeight="1" x14ac:dyDescent="0.2">
      <c r="A36" s="35"/>
      <c r="B36" s="53" t="s">
        <v>117</v>
      </c>
      <c r="C36" s="54">
        <f>C173*(10^9)</f>
        <v>-9.4248211348957458</v>
      </c>
      <c r="D36" s="21"/>
      <c r="E36" s="37"/>
    </row>
    <row r="37" spans="1:5" ht="35" customHeight="1" x14ac:dyDescent="0.2">
      <c r="A37" s="35"/>
      <c r="B37" s="53" t="s">
        <v>118</v>
      </c>
      <c r="C37" s="55">
        <f>C174*(10^9)</f>
        <v>28.601821303212024</v>
      </c>
      <c r="D37" s="21"/>
      <c r="E37" s="37"/>
    </row>
    <row r="38" spans="1:5" ht="35" customHeight="1" x14ac:dyDescent="0.2">
      <c r="A38" s="38"/>
      <c r="B38" s="53" t="s">
        <v>119</v>
      </c>
      <c r="C38" s="55">
        <f>C175*(10^9)</f>
        <v>-3.6461846421804786E-7</v>
      </c>
      <c r="D38" s="21"/>
      <c r="E38" s="37"/>
    </row>
    <row r="40" spans="1:5" ht="19" x14ac:dyDescent="0.25">
      <c r="A40" s="4" t="s">
        <v>21</v>
      </c>
    </row>
    <row r="41" spans="1:5" ht="16" customHeight="1" x14ac:dyDescent="0.25">
      <c r="A41" s="4"/>
      <c r="B41" s="45" t="s">
        <v>109</v>
      </c>
      <c r="C41" t="str">
        <f>B11</f>
        <v>P146</v>
      </c>
      <c r="D41" t="str">
        <f>B12</f>
        <v>P149</v>
      </c>
      <c r="E41" t="str">
        <f>B13</f>
        <v>P150</v>
      </c>
    </row>
    <row r="42" spans="1:5" s="40" customFormat="1" x14ac:dyDescent="0.2">
      <c r="A42" s="39"/>
      <c r="B42" s="42" t="s">
        <v>78</v>
      </c>
      <c r="C42" s="40">
        <f>D11*(PI()/180)</f>
        <v>0.68656826060492104</v>
      </c>
      <c r="D42" s="40">
        <f>D12*(PI()/180)</f>
        <v>0.69118755923475406</v>
      </c>
      <c r="E42" s="40">
        <f>D13*(PI()/180)</f>
        <v>0.68578140865730586</v>
      </c>
    </row>
    <row r="43" spans="1:5" s="40" customFormat="1" x14ac:dyDescent="0.2">
      <c r="A43" s="39"/>
      <c r="B43" s="42" t="s">
        <v>79</v>
      </c>
      <c r="C43" s="40">
        <f>C11*(PI()/180)</f>
        <v>-2.103772766388103</v>
      </c>
      <c r="D43" s="40">
        <f>C12*(PI()/180)</f>
        <v>-2.0962272749980908</v>
      </c>
      <c r="E43" s="40">
        <f>C13*(PI()/180)</f>
        <v>-2.0949859721079931</v>
      </c>
    </row>
    <row r="44" spans="1:5" s="40" customFormat="1" x14ac:dyDescent="0.2">
      <c r="A44" s="39"/>
      <c r="B44" s="42"/>
      <c r="C44" s="40">
        <f>(C11+180)/6</f>
        <v>9.9104499052333335</v>
      </c>
      <c r="D44" s="40">
        <f>(C12+180)/6</f>
        <v>9.9825040404000003</v>
      </c>
      <c r="E44" s="40">
        <f>(C13+180)/6</f>
        <v>9.9943576098499989</v>
      </c>
    </row>
    <row r="45" spans="1:5" s="40" customFormat="1" x14ac:dyDescent="0.2">
      <c r="A45" s="39"/>
      <c r="B45" s="42" t="s">
        <v>80</v>
      </c>
      <c r="C45" s="40">
        <f>IF((C44-INT(C44))&gt;0,INT(C44)+1,INT(C44))</f>
        <v>10</v>
      </c>
      <c r="D45" s="40">
        <f>IF((D44-INT(D44))&gt;0,INT(D44)+1,INT(D44))</f>
        <v>10</v>
      </c>
      <c r="E45" s="40">
        <f>IF((E44-INT(E44))&gt;0,INT(E44)+1,INT(E44))</f>
        <v>10</v>
      </c>
    </row>
    <row r="46" spans="1:5" s="40" customFormat="1" ht="17" x14ac:dyDescent="0.2">
      <c r="A46" s="39"/>
      <c r="B46" s="43" t="s">
        <v>81</v>
      </c>
      <c r="C46" s="40">
        <f>-183+(6*C45)</f>
        <v>-123</v>
      </c>
      <c r="D46" s="40">
        <f>-183+(6*D45)</f>
        <v>-123</v>
      </c>
      <c r="E46" s="40">
        <f>-183+(6*E45)</f>
        <v>-123</v>
      </c>
    </row>
    <row r="47" spans="1:5" s="40" customFormat="1" x14ac:dyDescent="0.2">
      <c r="A47" s="39"/>
      <c r="B47" s="43"/>
      <c r="C47" s="40">
        <f>C46*(PI()/180)</f>
        <v>-2.1467549799530254</v>
      </c>
      <c r="D47" s="40">
        <f>D46*(PI()/180)</f>
        <v>-2.1467549799530254</v>
      </c>
      <c r="E47" s="40">
        <f>E46*(PI()/180)</f>
        <v>-2.1467549799530254</v>
      </c>
    </row>
    <row r="48" spans="1:5" s="40" customFormat="1" ht="34" x14ac:dyDescent="0.2">
      <c r="A48" s="39"/>
      <c r="B48" s="43" t="s">
        <v>82</v>
      </c>
      <c r="C48" s="40">
        <f>IF((C46=-177),177,C46-6)</f>
        <v>-129</v>
      </c>
      <c r="D48" s="40">
        <f>IF((D46=-177),177,D46-6)</f>
        <v>-129</v>
      </c>
      <c r="E48" s="40">
        <f>IF((E46=-177),177,E46-6)</f>
        <v>-129</v>
      </c>
    </row>
    <row r="49" spans="1:5" s="40" customFormat="1" x14ac:dyDescent="0.2">
      <c r="A49" s="39"/>
      <c r="B49" s="43"/>
      <c r="C49" s="40">
        <f>C48*(PI()/180)</f>
        <v>-2.2514747350726849</v>
      </c>
      <c r="D49" s="40">
        <f>D48*(PI()/180)</f>
        <v>-2.2514747350726849</v>
      </c>
      <c r="E49" s="40">
        <f>E48*(PI()/180)</f>
        <v>-2.2514747350726849</v>
      </c>
    </row>
    <row r="50" spans="1:5" s="40" customFormat="1" x14ac:dyDescent="0.2">
      <c r="A50" s="39"/>
      <c r="B50" s="43"/>
      <c r="C50" s="40">
        <f>(C48+180)/6</f>
        <v>8.5</v>
      </c>
      <c r="D50" s="40">
        <f>(D48+180)/6</f>
        <v>8.5</v>
      </c>
      <c r="E50" s="40">
        <f>(E48+180)/6</f>
        <v>8.5</v>
      </c>
    </row>
    <row r="51" spans="1:5" s="40" customFormat="1" ht="17" x14ac:dyDescent="0.2">
      <c r="A51" s="39"/>
      <c r="B51" s="43" t="s">
        <v>83</v>
      </c>
      <c r="C51" s="40">
        <f>IF((C50-INT(C50))&gt;0,INT(C50)+1,INT(C50))</f>
        <v>9</v>
      </c>
      <c r="D51" s="40">
        <f>IF((D50-INT(D50))&gt;0,INT(D50)+1,INT(D50))</f>
        <v>9</v>
      </c>
      <c r="E51" s="40">
        <f>IF((E50-INT(E50))&gt;0,INT(E50)+1,INT(E50))</f>
        <v>9</v>
      </c>
    </row>
    <row r="52" spans="1:5" s="40" customFormat="1" x14ac:dyDescent="0.2">
      <c r="A52" s="39"/>
      <c r="B52" s="43"/>
    </row>
    <row r="53" spans="1:5" s="40" customFormat="1" x14ac:dyDescent="0.2">
      <c r="A53" s="39"/>
      <c r="B53" s="42" t="s">
        <v>84</v>
      </c>
      <c r="C53" s="40">
        <v>6378137</v>
      </c>
      <c r="D53" s="40">
        <v>6378137</v>
      </c>
      <c r="E53" s="40">
        <v>6378137</v>
      </c>
    </row>
    <row r="54" spans="1:5" s="40" customFormat="1" x14ac:dyDescent="0.2">
      <c r="A54" s="39"/>
      <c r="B54" s="42" t="s">
        <v>85</v>
      </c>
      <c r="C54" s="44">
        <v>6356752.3142478298</v>
      </c>
      <c r="D54" s="44">
        <v>6356752.3142478298</v>
      </c>
      <c r="E54" s="44">
        <v>6356752.3142478298</v>
      </c>
    </row>
    <row r="55" spans="1:5" s="40" customFormat="1" x14ac:dyDescent="0.2">
      <c r="A55" s="39"/>
      <c r="B55" s="42"/>
    </row>
    <row r="56" spans="1:5" s="40" customFormat="1" ht="18" x14ac:dyDescent="0.25">
      <c r="A56" s="39"/>
      <c r="B56" s="42" t="s">
        <v>86</v>
      </c>
      <c r="C56" s="40">
        <v>0.99960000000000004</v>
      </c>
      <c r="D56" s="40">
        <v>0.99960000000000004</v>
      </c>
      <c r="E56" s="40">
        <v>0.99960000000000004</v>
      </c>
    </row>
    <row r="57" spans="1:5" s="40" customFormat="1" x14ac:dyDescent="0.2">
      <c r="A57" s="39"/>
      <c r="B57" s="42" t="s">
        <v>87</v>
      </c>
      <c r="C57" s="40">
        <f>SQRT(1-C54^2/C53^2)</f>
        <v>8.1819190837559577E-2</v>
      </c>
      <c r="D57" s="40">
        <f>SQRT(1-D54^2/D53^2)</f>
        <v>8.1819190837559577E-2</v>
      </c>
      <c r="E57" s="40">
        <f>SQRT(1-E54^2/E53^2)</f>
        <v>8.1819190837559577E-2</v>
      </c>
    </row>
    <row r="58" spans="1:5" s="40" customFormat="1" ht="19" x14ac:dyDescent="0.2">
      <c r="A58" s="39"/>
      <c r="B58" s="42" t="s">
        <v>88</v>
      </c>
      <c r="C58" s="40">
        <f>((C57*C53)/C54)^2</f>
        <v>6.7394967414369095E-3</v>
      </c>
      <c r="D58" s="40">
        <f>((D57*D53)/D54)^2</f>
        <v>6.7394967414369095E-3</v>
      </c>
      <c r="E58" s="40">
        <f>((E57*E53)/E54)^2</f>
        <v>6.7394967414369095E-3</v>
      </c>
    </row>
    <row r="59" spans="1:5" s="40" customFormat="1" x14ac:dyDescent="0.2">
      <c r="A59" s="39"/>
      <c r="B59" s="42" t="s">
        <v>89</v>
      </c>
      <c r="C59" s="40">
        <f>(C53-C54)/(C53+C54)</f>
        <v>1.6792203861752386E-3</v>
      </c>
      <c r="D59" s="40">
        <f>(D53-D54)/(D53+D54)</f>
        <v>1.6792203861752386E-3</v>
      </c>
      <c r="E59" s="40">
        <f>(E53-E54)/(E53+E54)</f>
        <v>1.6792203861752386E-3</v>
      </c>
    </row>
    <row r="60" spans="1:5" s="40" customFormat="1" x14ac:dyDescent="0.2">
      <c r="A60" s="39"/>
      <c r="B60" s="42" t="s">
        <v>90</v>
      </c>
      <c r="C60" s="40">
        <f>(C53*(1-(C57^2)))/((1-((C57^2)*((SIN(C42))^2)))^(3/2))</f>
        <v>6361087.9501638347</v>
      </c>
      <c r="D60" s="40">
        <f>(D53*(1-(D57^2)))/((1-((D57^2)*((SIN(D42))^2)))^(3/2))</f>
        <v>6361378.3197566848</v>
      </c>
      <c r="E60" s="40">
        <f>(E53*(1-(E57^2)))/((1-((E57^2)*((SIN(E42))^2)))^(3/2))</f>
        <v>6361038.5435889168</v>
      </c>
    </row>
    <row r="61" spans="1:5" s="40" customFormat="1" x14ac:dyDescent="0.2">
      <c r="A61" s="39"/>
      <c r="B61" s="42" t="s">
        <v>91</v>
      </c>
      <c r="C61" s="40">
        <f>C53/SQRT(1-((C57^2)*((SIN(C42))^2)))</f>
        <v>6386732.5714318613</v>
      </c>
      <c r="D61" s="40">
        <f>D53/SQRT(1-((D57^2)*((SIN(D42))^2)))</f>
        <v>6386829.7500242405</v>
      </c>
      <c r="E61" s="40">
        <f>E53/SQRT(1-((E57^2)*((SIN(E42))^2)))</f>
        <v>6386716.0361368144</v>
      </c>
    </row>
    <row r="62" spans="1:5" s="40" customFormat="1" x14ac:dyDescent="0.2">
      <c r="A62" s="39"/>
      <c r="B62" s="42" t="s">
        <v>92</v>
      </c>
      <c r="C62" s="40">
        <f>C43-C47</f>
        <v>4.2982213564922489E-2</v>
      </c>
      <c r="D62" s="40">
        <f>D43-D47</f>
        <v>5.0527704954934638E-2</v>
      </c>
      <c r="E62" s="40">
        <f>E43-E47</f>
        <v>5.1769007845032355E-2</v>
      </c>
    </row>
    <row r="63" spans="1:5" s="40" customFormat="1" x14ac:dyDescent="0.2">
      <c r="A63" s="39"/>
      <c r="B63" s="42" t="s">
        <v>108</v>
      </c>
      <c r="C63" s="40">
        <f>IF((C48=177),(ABS(C43)-C49),(C43-C49))</f>
        <v>0.14770196868458196</v>
      </c>
      <c r="D63" s="40">
        <f>IF((D48=177),(ABS(D43)-D49),(D43-D49))</f>
        <v>0.15524746007459411</v>
      </c>
      <c r="E63" s="40">
        <f>IF((E48=177),(ABS(E43)-E49),(E43-E49))</f>
        <v>0.15648876296469183</v>
      </c>
    </row>
    <row r="64" spans="1:5" s="40" customFormat="1" x14ac:dyDescent="0.2">
      <c r="A64" s="39"/>
      <c r="B64" s="42"/>
    </row>
    <row r="65" spans="1:5" s="40" customFormat="1" x14ac:dyDescent="0.2">
      <c r="A65" s="39"/>
      <c r="B65" s="42" t="s">
        <v>93</v>
      </c>
      <c r="C65" s="40">
        <f>C42*(1-((C57^2)/4)-((3*(C57^4))/64)-((5*(C57^6))/256))</f>
        <v>0.68541777710850627</v>
      </c>
      <c r="D65" s="40">
        <f>D42*(1-((D57^2)/4)-((3*(D57^4))/64)-((5*(D57^6))/256))</f>
        <v>0.69002933517247933</v>
      </c>
      <c r="E65" s="40">
        <f>E42*(1-((E57^2)/4)-((3*(E57^4))/64)-((5*(E57^6))/256))</f>
        <v>0.68463224368991704</v>
      </c>
    </row>
    <row r="66" spans="1:5" s="40" customFormat="1" x14ac:dyDescent="0.2">
      <c r="A66" s="39"/>
      <c r="B66" s="42" t="s">
        <v>94</v>
      </c>
      <c r="C66" s="40">
        <f>SIN(2*C42)*(((3*(C57^2))/8)+((3*(C57^4))/32)+((45*(C57^6))/1024))</f>
        <v>2.4656446899988279E-3</v>
      </c>
      <c r="D66" s="40">
        <f>SIN(2*D42)*(((3*(D57^2))/8)+((3*(D57^4))/32)+((45*(D57^6))/1024))</f>
        <v>2.4701014824302188E-3</v>
      </c>
      <c r="E66" s="40">
        <f>SIN(2*E42)*(((3*(E57^2))/8)+((3*(E57^4))/32)+((45*(E57^6))/1024))</f>
        <v>2.4648645318566462E-3</v>
      </c>
    </row>
    <row r="67" spans="1:5" s="40" customFormat="1" x14ac:dyDescent="0.2">
      <c r="A67" s="39"/>
      <c r="B67" s="42" t="s">
        <v>96</v>
      </c>
      <c r="C67" s="40">
        <f>SIN(4*C42)*(((15*(C57^4))/256)+((45*(C57^6))/1024))</f>
        <v>1.0163052067904005E-6</v>
      </c>
      <c r="D67" s="40">
        <f>SIN(4*D42)*(((15*(D57^4))/256)+((45*(D57^6))/1024))</f>
        <v>9.711329630265919E-7</v>
      </c>
      <c r="E67" s="40">
        <f>SIN(4*E42)*(((15*(E57^4))/256)+((45*(E57^6))/1024))</f>
        <v>1.0239656916063759E-6</v>
      </c>
    </row>
    <row r="68" spans="1:5" s="40" customFormat="1" x14ac:dyDescent="0.2">
      <c r="A68" s="39"/>
      <c r="B68" s="42" t="s">
        <v>97</v>
      </c>
      <c r="C68" s="40">
        <f>SIN(6*C42)*((35*(C57^6))/3072)</f>
        <v>-2.834515077278758E-9</v>
      </c>
      <c r="D68" s="40">
        <f>SIN(6*D42)*((35*(D57^6))/3072)</f>
        <v>-2.8863602053548927E-9</v>
      </c>
      <c r="E68" s="40">
        <f>SIN(6*E42)*((35*(E57^6))/3072)</f>
        <v>-2.8254656258188369E-9</v>
      </c>
    </row>
    <row r="69" spans="1:5" s="40" customFormat="1" x14ac:dyDescent="0.2">
      <c r="A69" s="39"/>
      <c r="B69" s="42" t="s">
        <v>95</v>
      </c>
      <c r="C69" s="40">
        <f>C53*(C65-C66+C67-C68)</f>
        <v>4355968.7652201494</v>
      </c>
      <c r="D69" s="40">
        <f>D53*(D65-D66+D67-D68)</f>
        <v>4385353.2005188325</v>
      </c>
      <c r="E69" s="40">
        <f>E53*(E65-E66+E67-E68)</f>
        <v>4350963.5502157249</v>
      </c>
    </row>
    <row r="70" spans="1:5" s="40" customFormat="1" x14ac:dyDescent="0.2">
      <c r="A70" s="39"/>
      <c r="B70" s="42"/>
    </row>
    <row r="71" spans="1:5" s="40" customFormat="1" x14ac:dyDescent="0.2">
      <c r="A71" s="39"/>
      <c r="B71" s="42" t="s">
        <v>98</v>
      </c>
      <c r="C71" s="40">
        <f>C69*C56</f>
        <v>4354226.3777140612</v>
      </c>
      <c r="D71" s="40">
        <f>D69*D56</f>
        <v>4383599.0592386248</v>
      </c>
      <c r="E71" s="40">
        <f>E69*E56</f>
        <v>4349223.164795639</v>
      </c>
    </row>
    <row r="72" spans="1:5" s="40" customFormat="1" x14ac:dyDescent="0.2">
      <c r="A72" s="39"/>
      <c r="B72" s="42" t="s">
        <v>99</v>
      </c>
      <c r="C72" s="40">
        <f>C56*C61*SIN(2*C42)/4</f>
        <v>1564967.5982176133</v>
      </c>
      <c r="D72" s="40">
        <f>D56*D61*SIN(2*D42)/4</f>
        <v>1567820.2209068476</v>
      </c>
      <c r="E72" s="40">
        <f>E56*E61*SIN(2*E42)/4</f>
        <v>1564468.3741646968</v>
      </c>
    </row>
    <row r="73" spans="1:5" s="40" customFormat="1" x14ac:dyDescent="0.2">
      <c r="A73" s="39"/>
      <c r="B73" s="42" t="s">
        <v>100</v>
      </c>
      <c r="C73" s="40">
        <f>(C56*C61*SIN(C42)*((COS(C42))^3)/24)*(5-((TAN(C42))^2)+(9*C58*((COS(C42))^2))+(4*(C58^2)*((COS(C42))^4)))</f>
        <v>340493.7652054294</v>
      </c>
      <c r="D73" s="40">
        <f>(D56*D61*SIN(D42)*((COS(D42))^3)/24)*(5-((TAN(D42))^2)+(9*D58*((COS(D42))^2))+(4*(D58^2)*((COS(D42))^4)))</f>
        <v>337517.64189560834</v>
      </c>
      <c r="E73" s="40">
        <f>(E56*E61*SIN(E42)*((COS(E42))^3)/24)*(5-((TAN(E42))^2)+(9*E58*((COS(E42))^2))+(4*(E58^2)*((COS(E42))^4)))</f>
        <v>340995.89281492808</v>
      </c>
    </row>
    <row r="74" spans="1:5" s="40" customFormat="1" x14ac:dyDescent="0.2">
      <c r="A74" s="39"/>
      <c r="B74" s="42" t="s">
        <v>101</v>
      </c>
      <c r="C74" s="40">
        <f>C56*C61*COS(C42)</f>
        <v>4937688.5151075348</v>
      </c>
      <c r="D74" s="40">
        <f>D56*D61*COS(D42)</f>
        <v>4919017.1584845493</v>
      </c>
      <c r="E74" s="40">
        <f>E56*E61*COS(E42)</f>
        <v>4940858.4626207817</v>
      </c>
    </row>
    <row r="75" spans="1:5" s="40" customFormat="1" x14ac:dyDescent="0.2">
      <c r="A75" s="39"/>
      <c r="B75" s="42" t="s">
        <v>102</v>
      </c>
      <c r="C75" s="40">
        <f>(C56*C61*((COS(C42))^3)/6)*(1-((TAN(C42))^2)+(C58*((COS(C42))^2)))</f>
        <v>163591.23802269314</v>
      </c>
      <c r="D75" s="40">
        <f>(D56*D61*((COS(D42))^3)/6)*(1-((TAN(D42))^2)+(D58*((COS(D42))^2)))</f>
        <v>155509.35662002387</v>
      </c>
      <c r="E75" s="40">
        <f>(E56*E61*((COS(E42))^3)/6)*(1-((TAN(E42))^2)+(E58*((COS(E42))^2)))</f>
        <v>164971.86159783183</v>
      </c>
    </row>
    <row r="76" spans="1:5" s="40" customFormat="1" x14ac:dyDescent="0.2">
      <c r="A76" s="39"/>
      <c r="B76" s="42"/>
    </row>
    <row r="77" spans="1:5" s="40" customFormat="1" ht="16" customHeight="1" x14ac:dyDescent="0.2">
      <c r="A77" s="39"/>
      <c r="B77" s="49" t="s">
        <v>109</v>
      </c>
      <c r="C77" s="50" t="str">
        <f>B11</f>
        <v>P146</v>
      </c>
      <c r="D77" s="50" t="str">
        <f>B12</f>
        <v>P149</v>
      </c>
      <c r="E77" s="50" t="str">
        <f>B13</f>
        <v>P150</v>
      </c>
    </row>
    <row r="78" spans="1:5" s="40" customFormat="1" x14ac:dyDescent="0.2">
      <c r="A78" s="39"/>
      <c r="B78" s="42" t="s">
        <v>105</v>
      </c>
      <c r="C78" s="46">
        <f>C71+(C72*(C62^2))+(C73*(C62^4))</f>
        <v>4357118.7716271086</v>
      </c>
      <c r="D78" s="46">
        <f>D71+(D72*(D62^2))+(D73*(D62^4))</f>
        <v>4387603.9809955554</v>
      </c>
      <c r="E78" s="46">
        <f>E71+(E72*(E62^2))+(E73*(E62^4))</f>
        <v>4353418.4364675591</v>
      </c>
    </row>
    <row r="79" spans="1:5" s="40" customFormat="1" x14ac:dyDescent="0.2">
      <c r="A79" s="39"/>
      <c r="B79" s="42" t="s">
        <v>106</v>
      </c>
      <c r="C79" s="46">
        <f>500000+(C74*C62)+(C75*(C62^3))</f>
        <v>712245.77278852055</v>
      </c>
      <c r="D79" s="46">
        <f>500000+(D74*D62)+(D75*(D62^3))</f>
        <v>748566.70831329562</v>
      </c>
      <c r="E79" s="46">
        <f>500000+(E74*E62)+(E75*(E62^3))</f>
        <v>755806.2291216231</v>
      </c>
    </row>
    <row r="80" spans="1:5" s="40" customFormat="1" x14ac:dyDescent="0.2">
      <c r="A80" s="39"/>
      <c r="B80" s="42" t="s">
        <v>107</v>
      </c>
      <c r="C80" s="46">
        <f>C71+(C72*(C63^2))+(C73*(C63^4))</f>
        <v>4388529.5617861943</v>
      </c>
      <c r="D80" s="46">
        <f>D71+(D72*(D63^2))+(D73*(D63^4))</f>
        <v>4421582.3701358708</v>
      </c>
      <c r="E80" s="46">
        <f>E71+(E72*(E63^2))+(E73*(E63^4))</f>
        <v>4387739.5075634066</v>
      </c>
    </row>
    <row r="81" spans="1:7" s="40" customFormat="1" x14ac:dyDescent="0.2">
      <c r="A81" s="39"/>
      <c r="B81" s="42" t="s">
        <v>112</v>
      </c>
      <c r="C81" s="46">
        <f>500000+(C74*C63)+(C75*(C63^3))</f>
        <v>1229833.4458375324</v>
      </c>
      <c r="D81" s="46">
        <f>500000+(D74*D63)+(D75*(D63^3))</f>
        <v>1264246.7953698172</v>
      </c>
      <c r="E81" s="46">
        <f>500000+(E74*E63)+(E75*(E63^3))</f>
        <v>1273821.0358682151</v>
      </c>
    </row>
    <row r="82" spans="1:7" s="40" customFormat="1" x14ac:dyDescent="0.2">
      <c r="A82" s="39"/>
      <c r="B82" s="42"/>
      <c r="C82" s="46"/>
      <c r="D82" s="46"/>
      <c r="E82" s="46"/>
    </row>
    <row r="83" spans="1:7" s="40" customFormat="1" x14ac:dyDescent="0.2">
      <c r="A83" s="39"/>
      <c r="B83" s="42" t="s">
        <v>110</v>
      </c>
      <c r="C83" s="47">
        <f>IF((STDEV(C45:E45)&gt;5),60,ROUNDDOWN(D83,0))</f>
        <v>10</v>
      </c>
      <c r="D83" s="52">
        <f>(C45+D45+E45)/3</f>
        <v>10</v>
      </c>
      <c r="E83" s="46">
        <f>STDEV(C45:E45)</f>
        <v>0</v>
      </c>
    </row>
    <row r="84" spans="1:7" s="40" customFormat="1" x14ac:dyDescent="0.2">
      <c r="A84" s="39"/>
      <c r="B84" s="42"/>
      <c r="C84" s="46"/>
      <c r="D84" s="46"/>
      <c r="E84" s="46"/>
    </row>
    <row r="85" spans="1:7" s="40" customFormat="1" ht="34" x14ac:dyDescent="0.2">
      <c r="A85" s="39"/>
      <c r="B85" s="48" t="s">
        <v>111</v>
      </c>
      <c r="C85" s="46"/>
      <c r="D85" s="46"/>
      <c r="E85" s="46"/>
    </row>
    <row r="86" spans="1:7" s="40" customFormat="1" x14ac:dyDescent="0.2">
      <c r="A86" s="39"/>
      <c r="B86" s="49" t="s">
        <v>109</v>
      </c>
      <c r="C86" s="39" t="str">
        <f>B11</f>
        <v>P146</v>
      </c>
      <c r="D86" s="39" t="str">
        <f>B12</f>
        <v>P149</v>
      </c>
      <c r="E86" s="39" t="str">
        <f>B13</f>
        <v>P150</v>
      </c>
    </row>
    <row r="87" spans="1:7" s="40" customFormat="1" x14ac:dyDescent="0.2">
      <c r="A87" s="39"/>
      <c r="B87" s="42" t="s">
        <v>103</v>
      </c>
      <c r="C87" s="46">
        <f>IF((C45=C83),C78,C80)</f>
        <v>4357118.7716271086</v>
      </c>
      <c r="D87" s="46">
        <f>IF((D45=C83),D78,D80)</f>
        <v>4387603.9809955554</v>
      </c>
      <c r="E87" s="46">
        <f>IF((E45=C83),E78,E80)</f>
        <v>4353418.4364675591</v>
      </c>
      <c r="F87"/>
      <c r="G87"/>
    </row>
    <row r="88" spans="1:7" s="40" customFormat="1" x14ac:dyDescent="0.2">
      <c r="A88" s="39"/>
      <c r="B88" s="42" t="s">
        <v>104</v>
      </c>
      <c r="C88" s="46">
        <f>IF((C45=C83),C79,C81)</f>
        <v>712245.77278852055</v>
      </c>
      <c r="D88" s="46">
        <f>IF((D45=C83),D79,D81)</f>
        <v>748566.70831329562</v>
      </c>
      <c r="E88" s="46">
        <f>IF((E45=C83),E79,E81)</f>
        <v>755806.2291216231</v>
      </c>
      <c r="F88"/>
      <c r="G88"/>
    </row>
    <row r="89" spans="1:7" s="40" customFormat="1" x14ac:dyDescent="0.2">
      <c r="A89" s="39"/>
    </row>
    <row r="90" spans="1:7" x14ac:dyDescent="0.2">
      <c r="C90" s="2" t="s">
        <v>113</v>
      </c>
      <c r="D90" s="2" t="s">
        <v>114</v>
      </c>
    </row>
    <row r="91" spans="1:7" x14ac:dyDescent="0.2">
      <c r="B91" t="s">
        <v>22</v>
      </c>
      <c r="C91" s="7">
        <f>(C88+D88+E88)/3</f>
        <v>738872.90340781305</v>
      </c>
      <c r="D91" s="7">
        <f>(C87+D87+E87)/3</f>
        <v>4366047.0630300744</v>
      </c>
    </row>
    <row r="93" spans="1:7" x14ac:dyDescent="0.2">
      <c r="B93" t="s">
        <v>23</v>
      </c>
    </row>
    <row r="94" spans="1:7" x14ac:dyDescent="0.2">
      <c r="C94" s="51" t="s">
        <v>6</v>
      </c>
      <c r="D94" s="51" t="s">
        <v>24</v>
      </c>
      <c r="E94" s="51" t="s">
        <v>25</v>
      </c>
    </row>
    <row r="95" spans="1:7" x14ac:dyDescent="0.2">
      <c r="C95" s="51" t="str">
        <f>B11</f>
        <v>P146</v>
      </c>
      <c r="D95" s="8">
        <f>C88-C91</f>
        <v>-26627.130619292497</v>
      </c>
      <c r="E95" s="8">
        <f>C87-D91</f>
        <v>-8928.2914029657841</v>
      </c>
    </row>
    <row r="96" spans="1:7" x14ac:dyDescent="0.2">
      <c r="C96" s="51" t="str">
        <f>B12</f>
        <v>P149</v>
      </c>
      <c r="D96" s="8">
        <f>D88-C91</f>
        <v>9693.8049054825678</v>
      </c>
      <c r="E96" s="8">
        <f>D87-D91</f>
        <v>21556.917965481058</v>
      </c>
    </row>
    <row r="97" spans="2:8" x14ac:dyDescent="0.2">
      <c r="C97" s="51" t="str">
        <f>B13</f>
        <v>P150</v>
      </c>
      <c r="D97" s="8">
        <f>E88-C91</f>
        <v>16933.325713810045</v>
      </c>
      <c r="E97" s="8">
        <f>E87-D91</f>
        <v>-12628.626562515274</v>
      </c>
    </row>
    <row r="98" spans="2:8" x14ac:dyDescent="0.2">
      <c r="C98" s="51"/>
      <c r="D98" s="8"/>
      <c r="E98" s="8"/>
    </row>
    <row r="99" spans="2:8" x14ac:dyDescent="0.2">
      <c r="B99" t="s">
        <v>121</v>
      </c>
      <c r="C99" s="51"/>
      <c r="D99" s="8"/>
      <c r="E99" s="8"/>
    </row>
    <row r="100" spans="2:8" x14ac:dyDescent="0.2">
      <c r="C100" s="51" t="s">
        <v>6</v>
      </c>
      <c r="D100" s="57" t="s">
        <v>7</v>
      </c>
      <c r="E100" s="57" t="s">
        <v>8</v>
      </c>
      <c r="F100" s="57" t="s">
        <v>9</v>
      </c>
      <c r="G100" s="57" t="s">
        <v>10</v>
      </c>
    </row>
    <row r="101" spans="2:8" x14ac:dyDescent="0.2">
      <c r="C101" s="51" t="str">
        <f>B11</f>
        <v>P146</v>
      </c>
      <c r="D101" s="58">
        <f t="shared" ref="D101:G103" si="0">E11*0.001</f>
        <v>-9.0299999999999998E-3</v>
      </c>
      <c r="E101" s="58">
        <f t="shared" si="0"/>
        <v>6.0000000000000002E-5</v>
      </c>
      <c r="F101" s="59">
        <f t="shared" si="0"/>
        <v>7.4200000000000004E-3</v>
      </c>
      <c r="G101" s="59">
        <f t="shared" si="0"/>
        <v>7.0000000000000007E-5</v>
      </c>
    </row>
    <row r="102" spans="2:8" x14ac:dyDescent="0.2">
      <c r="C102" s="51" t="str">
        <f>B12</f>
        <v>P149</v>
      </c>
      <c r="D102" s="58">
        <f t="shared" si="0"/>
        <v>-7.7499999999999999E-3</v>
      </c>
      <c r="E102" s="58">
        <f t="shared" si="0"/>
        <v>6.0000000000000002E-5</v>
      </c>
      <c r="F102" s="59">
        <f t="shared" si="0"/>
        <v>6.0999999999999995E-3</v>
      </c>
      <c r="G102" s="59">
        <f t="shared" si="0"/>
        <v>4.0000000000000003E-5</v>
      </c>
    </row>
    <row r="103" spans="2:8" x14ac:dyDescent="0.2">
      <c r="C103" s="51" t="str">
        <f>B13</f>
        <v>P150</v>
      </c>
      <c r="D103" s="58">
        <f t="shared" si="0"/>
        <v>-8.490000000000001E-3</v>
      </c>
      <c r="E103" s="58">
        <f t="shared" si="0"/>
        <v>6.0000000000000002E-5</v>
      </c>
      <c r="F103" s="59">
        <f t="shared" si="0"/>
        <v>6.7999999999999996E-3</v>
      </c>
      <c r="G103" s="59">
        <f t="shared" si="0"/>
        <v>3.0000000000000001E-5</v>
      </c>
    </row>
    <row r="105" spans="2:8" x14ac:dyDescent="0.2">
      <c r="B105" t="s">
        <v>26</v>
      </c>
      <c r="C105" s="8">
        <f t="shared" ref="C105:D107" si="1">D95</f>
        <v>-26627.130619292497</v>
      </c>
      <c r="D105" s="8">
        <f t="shared" si="1"/>
        <v>-8928.2914029657841</v>
      </c>
    </row>
    <row r="106" spans="2:8" x14ac:dyDescent="0.2">
      <c r="C106" s="8">
        <f t="shared" si="1"/>
        <v>9693.8049054825678</v>
      </c>
      <c r="D106" s="8">
        <f t="shared" si="1"/>
        <v>21556.917965481058</v>
      </c>
    </row>
    <row r="107" spans="2:8" x14ac:dyDescent="0.2">
      <c r="C107" s="8">
        <f t="shared" si="1"/>
        <v>16933.325713810045</v>
      </c>
      <c r="D107" s="8">
        <f t="shared" si="1"/>
        <v>-12628.626562515274</v>
      </c>
    </row>
    <row r="109" spans="2:8" x14ac:dyDescent="0.2">
      <c r="B109" t="s">
        <v>27</v>
      </c>
      <c r="C109">
        <v>1</v>
      </c>
      <c r="D109">
        <v>0</v>
      </c>
      <c r="E109">
        <f>(-1)*D105</f>
        <v>8928.2914029657841</v>
      </c>
      <c r="F109" s="7">
        <f>C105</f>
        <v>-26627.130619292497</v>
      </c>
      <c r="G109" s="7">
        <f>D105</f>
        <v>-8928.2914029657841</v>
      </c>
      <c r="H109">
        <v>0</v>
      </c>
    </row>
    <row r="110" spans="2:8" x14ac:dyDescent="0.2">
      <c r="C110">
        <v>0</v>
      </c>
      <c r="D110">
        <v>1</v>
      </c>
      <c r="E110" s="7">
        <f>C105</f>
        <v>-26627.130619292497</v>
      </c>
      <c r="F110">
        <v>0</v>
      </c>
      <c r="G110" s="7">
        <f>C105</f>
        <v>-26627.130619292497</v>
      </c>
      <c r="H110" s="7">
        <f>D105</f>
        <v>-8928.2914029657841</v>
      </c>
    </row>
    <row r="111" spans="2:8" x14ac:dyDescent="0.2">
      <c r="C111">
        <v>1</v>
      </c>
      <c r="D111">
        <v>0</v>
      </c>
      <c r="E111">
        <f>(-1)*D106</f>
        <v>-21556.917965481058</v>
      </c>
      <c r="F111" s="7">
        <f>C106</f>
        <v>9693.8049054825678</v>
      </c>
      <c r="G111" s="7">
        <f>D106</f>
        <v>21556.917965481058</v>
      </c>
      <c r="H111">
        <v>0</v>
      </c>
    </row>
    <row r="112" spans="2:8" x14ac:dyDescent="0.2">
      <c r="C112">
        <v>0</v>
      </c>
      <c r="D112">
        <v>1</v>
      </c>
      <c r="E112" s="7">
        <f>C106</f>
        <v>9693.8049054825678</v>
      </c>
      <c r="F112">
        <v>0</v>
      </c>
      <c r="G112" s="7">
        <f>C106</f>
        <v>9693.8049054825678</v>
      </c>
      <c r="H112" s="7">
        <f>D106</f>
        <v>21556.917965481058</v>
      </c>
    </row>
    <row r="113" spans="2:8" x14ac:dyDescent="0.2">
      <c r="C113">
        <v>1</v>
      </c>
      <c r="D113">
        <v>0</v>
      </c>
      <c r="E113">
        <f>(-1)*D107</f>
        <v>12628.626562515274</v>
      </c>
      <c r="F113" s="7">
        <f>C107</f>
        <v>16933.325713810045</v>
      </c>
      <c r="G113" s="7">
        <f>D107</f>
        <v>-12628.626562515274</v>
      </c>
      <c r="H113">
        <v>0</v>
      </c>
    </row>
    <row r="114" spans="2:8" x14ac:dyDescent="0.2">
      <c r="C114">
        <v>0</v>
      </c>
      <c r="D114">
        <v>1</v>
      </c>
      <c r="E114" s="7">
        <f>C107</f>
        <v>16933.325713810045</v>
      </c>
      <c r="F114">
        <v>0</v>
      </c>
      <c r="G114" s="7">
        <f>C107</f>
        <v>16933.325713810045</v>
      </c>
      <c r="H114" s="7">
        <f>D107</f>
        <v>-12628.626562515274</v>
      </c>
    </row>
    <row r="116" spans="2:8" x14ac:dyDescent="0.2">
      <c r="B116" t="s">
        <v>28</v>
      </c>
      <c r="C116" cm="1">
        <f t="array" ref="C116:H121">MINVERSE(C109:H114)</f>
        <v>0.33333333333333426</v>
      </c>
      <c r="D116">
        <v>1.3877787807814457E-17</v>
      </c>
      <c r="E116">
        <v>0.3333333333333332</v>
      </c>
      <c r="F116">
        <v>-3.4694469519536142E-18</v>
      </c>
      <c r="G116">
        <v>0.33333333333333248</v>
      </c>
      <c r="H116">
        <v>-1.3877787807814457E-17</v>
      </c>
    </row>
    <row r="117" spans="2:8" x14ac:dyDescent="0.2">
      <c r="C117">
        <v>0</v>
      </c>
      <c r="D117">
        <v>0.3333333333333342</v>
      </c>
      <c r="E117">
        <v>0</v>
      </c>
      <c r="F117">
        <v>0.3333333333333332</v>
      </c>
      <c r="G117">
        <v>0</v>
      </c>
      <c r="H117">
        <v>0.33333333333333248</v>
      </c>
    </row>
    <row r="118" spans="2:8" x14ac:dyDescent="0.2">
      <c r="C118">
        <v>2.4753049683176544E-6</v>
      </c>
      <c r="D118">
        <v>-1.1688570342591935E-5</v>
      </c>
      <c r="E118">
        <v>-1.4893998765703322E-5</v>
      </c>
      <c r="F118">
        <v>1.26520224851587E-6</v>
      </c>
      <c r="G118">
        <v>1.2418693797385667E-5</v>
      </c>
      <c r="H118">
        <v>1.0423368094076065E-5</v>
      </c>
    </row>
    <row r="119" spans="2:8" x14ac:dyDescent="0.2">
      <c r="C119">
        <v>-2.337714068518387E-5</v>
      </c>
      <c r="D119">
        <v>8.9602546656099741E-23</v>
      </c>
      <c r="E119">
        <v>2.5304044970317397E-6</v>
      </c>
      <c r="F119">
        <v>-3.9823354069377664E-23</v>
      </c>
      <c r="G119">
        <v>2.0846736188152126E-5</v>
      </c>
      <c r="H119">
        <v>1.3938173924282183E-22</v>
      </c>
    </row>
    <row r="120" spans="2:8" x14ac:dyDescent="0.2">
      <c r="C120">
        <v>-2.4753049683176544E-6</v>
      </c>
      <c r="D120">
        <v>-1.1688570342591933E-5</v>
      </c>
      <c r="E120">
        <v>1.4893998765703322E-5</v>
      </c>
      <c r="F120">
        <v>1.2652022485158698E-6</v>
      </c>
      <c r="G120">
        <v>-1.2418693797385667E-5</v>
      </c>
      <c r="H120">
        <v>1.0423368094076063E-5</v>
      </c>
    </row>
    <row r="121" spans="2:8" x14ac:dyDescent="0.2">
      <c r="C121">
        <v>0</v>
      </c>
      <c r="D121">
        <v>-4.9506099366353087E-6</v>
      </c>
      <c r="E121">
        <v>0</v>
      </c>
      <c r="F121">
        <v>2.9787997531406643E-5</v>
      </c>
      <c r="G121">
        <v>0</v>
      </c>
      <c r="H121">
        <v>-2.4837387594771335E-5</v>
      </c>
    </row>
    <row r="123" spans="2:8" x14ac:dyDescent="0.2">
      <c r="B123" t="s">
        <v>29</v>
      </c>
      <c r="C123" s="59">
        <f>D101</f>
        <v>-9.0299999999999998E-3</v>
      </c>
      <c r="D123" t="s">
        <v>129</v>
      </c>
    </row>
    <row r="124" spans="2:8" x14ac:dyDescent="0.2">
      <c r="C124" s="59">
        <f>F101</f>
        <v>7.4200000000000004E-3</v>
      </c>
      <c r="D124" t="s">
        <v>129</v>
      </c>
    </row>
    <row r="125" spans="2:8" x14ac:dyDescent="0.2">
      <c r="C125" s="59">
        <f>D102</f>
        <v>-7.7499999999999999E-3</v>
      </c>
      <c r="D125" t="s">
        <v>129</v>
      </c>
    </row>
    <row r="126" spans="2:8" x14ac:dyDescent="0.2">
      <c r="C126" s="59">
        <f>F102</f>
        <v>6.0999999999999995E-3</v>
      </c>
      <c r="D126" t="s">
        <v>129</v>
      </c>
    </row>
    <row r="127" spans="2:8" x14ac:dyDescent="0.2">
      <c r="C127" s="59">
        <f>D103</f>
        <v>-8.490000000000001E-3</v>
      </c>
      <c r="D127" t="s">
        <v>129</v>
      </c>
    </row>
    <row r="128" spans="2:8" x14ac:dyDescent="0.2">
      <c r="C128" s="59">
        <f>F103</f>
        <v>6.7999999999999996E-3</v>
      </c>
      <c r="D128" t="s">
        <v>129</v>
      </c>
    </row>
    <row r="130" spans="2:4" x14ac:dyDescent="0.2">
      <c r="B130" t="s">
        <v>30</v>
      </c>
      <c r="C130">
        <f t="array" ref="C130:C135">MMULT(C116:H121,C123:C128)</f>
        <v>-8.4233333333333348E-3</v>
      </c>
    </row>
    <row r="131" spans="2:4" x14ac:dyDescent="0.2">
      <c r="C131">
        <v>6.7733333333333335E-3</v>
      </c>
    </row>
    <row r="132" spans="2:4" x14ac:dyDescent="0.2">
      <c r="C132">
        <v>-2.0490778955880119E-8</v>
      </c>
    </row>
    <row r="133" spans="2:4" x14ac:dyDescent="0.2">
      <c r="C133">
        <v>1.4496155297802789E-8</v>
      </c>
      <c r="D133" t="s">
        <v>130</v>
      </c>
    </row>
    <row r="134" spans="2:4" x14ac:dyDescent="0.2">
      <c r="C134">
        <v>4.2256685831438966E-9</v>
      </c>
      <c r="D134" t="s">
        <v>130</v>
      </c>
    </row>
    <row r="135" spans="2:4" x14ac:dyDescent="0.2">
      <c r="C135">
        <v>-2.3920976432698534E-8</v>
      </c>
      <c r="D135" t="s">
        <v>130</v>
      </c>
    </row>
    <row r="137" spans="2:4" x14ac:dyDescent="0.2">
      <c r="B137" t="s">
        <v>35</v>
      </c>
      <c r="C137" t="s">
        <v>32</v>
      </c>
      <c r="D137" t="s">
        <v>33</v>
      </c>
    </row>
    <row r="138" spans="2:4" x14ac:dyDescent="0.2">
      <c r="C138">
        <v>0</v>
      </c>
      <c r="D138">
        <v>1</v>
      </c>
    </row>
    <row r="140" spans="2:4" x14ac:dyDescent="0.2">
      <c r="B140" t="s">
        <v>31</v>
      </c>
      <c r="C140" t="s">
        <v>32</v>
      </c>
      <c r="D140" t="s">
        <v>33</v>
      </c>
    </row>
    <row r="141" spans="2:4" x14ac:dyDescent="0.2">
      <c r="B141" s="6" t="s">
        <v>34</v>
      </c>
      <c r="C141">
        <f>C130</f>
        <v>-8.4233333333333348E-3</v>
      </c>
      <c r="D141">
        <f>C131</f>
        <v>6.7733333333333335E-3</v>
      </c>
    </row>
    <row r="142" spans="2:4" x14ac:dyDescent="0.2">
      <c r="B142" s="6"/>
    </row>
    <row r="143" spans="2:4" x14ac:dyDescent="0.2">
      <c r="B143" s="6" t="s">
        <v>47</v>
      </c>
      <c r="C143">
        <f>SQRT((C141^2)+(D141^2))</f>
        <v>1.0808819958204915E-2</v>
      </c>
    </row>
    <row r="144" spans="2:4" x14ac:dyDescent="0.2">
      <c r="B144" s="6"/>
    </row>
    <row r="145" spans="2:4" x14ac:dyDescent="0.2">
      <c r="B145" s="6"/>
      <c r="C145" t="s">
        <v>32</v>
      </c>
      <c r="D145" t="s">
        <v>33</v>
      </c>
    </row>
    <row r="146" spans="2:4" x14ac:dyDescent="0.2">
      <c r="B146" s="6" t="s">
        <v>46</v>
      </c>
      <c r="C146">
        <f>C141/C143</f>
        <v>-0.77930184478086606</v>
      </c>
      <c r="D146">
        <f>D141/C143</f>
        <v>0.62664873312018987</v>
      </c>
    </row>
    <row r="147" spans="2:4" x14ac:dyDescent="0.2">
      <c r="B147" s="6"/>
    </row>
    <row r="148" spans="2:4" x14ac:dyDescent="0.2">
      <c r="B148" s="6" t="s">
        <v>36</v>
      </c>
      <c r="C148" s="7">
        <f>ACOS((C146*C138)+(D146*D138))*(180/PI())</f>
        <v>51.196697342137853</v>
      </c>
      <c r="D148" t="s">
        <v>48</v>
      </c>
    </row>
    <row r="149" spans="2:4" x14ac:dyDescent="0.2">
      <c r="B149" s="6" t="s">
        <v>37</v>
      </c>
      <c r="C149" s="7">
        <f>IF((C141&lt;0),360-C148,C148)</f>
        <v>308.80330265786216</v>
      </c>
      <c r="D149" t="s">
        <v>48</v>
      </c>
    </row>
    <row r="151" spans="2:4" x14ac:dyDescent="0.2">
      <c r="B151" s="1" t="s">
        <v>38</v>
      </c>
      <c r="C151">
        <f>C133</f>
        <v>1.4496155297802789E-8</v>
      </c>
      <c r="D151">
        <f>C134</f>
        <v>4.2256685831438966E-9</v>
      </c>
    </row>
    <row r="152" spans="2:4" x14ac:dyDescent="0.2">
      <c r="C152">
        <f>C134</f>
        <v>4.2256685831438966E-9</v>
      </c>
      <c r="D152">
        <f>C135</f>
        <v>-2.3920976432698534E-8</v>
      </c>
    </row>
    <row r="154" spans="2:4" x14ac:dyDescent="0.2">
      <c r="B154" t="s">
        <v>41</v>
      </c>
    </row>
    <row r="155" spans="2:4" x14ac:dyDescent="0.2">
      <c r="B155" s="6" t="s">
        <v>39</v>
      </c>
      <c r="C155">
        <f>((C151+D152)+SQRT((4*D151*C152)+((C151-D152)^2)))/2</f>
        <v>1.4955463684088365E-8</v>
      </c>
    </row>
    <row r="156" spans="2:4" x14ac:dyDescent="0.2">
      <c r="B156" s="6" t="s">
        <v>40</v>
      </c>
      <c r="C156">
        <f>((C151+D152)-SQRT((4*D151*C152)+((C151-D152)^2)))/2</f>
        <v>-2.4380284818984111E-8</v>
      </c>
    </row>
    <row r="157" spans="2:4" x14ac:dyDescent="0.2">
      <c r="B157" s="6" t="s">
        <v>42</v>
      </c>
      <c r="C157">
        <f>IF((C155&gt;C156),C155,C156)</f>
        <v>1.4955463684088365E-8</v>
      </c>
    </row>
    <row r="158" spans="2:4" x14ac:dyDescent="0.2">
      <c r="B158" s="6" t="s">
        <v>43</v>
      </c>
      <c r="C158">
        <f>IF((C155&gt;C156),C156,C155)</f>
        <v>-2.4380284818984111E-8</v>
      </c>
    </row>
    <row r="160" spans="2:4" x14ac:dyDescent="0.2">
      <c r="C160" t="s">
        <v>32</v>
      </c>
      <c r="D160" t="s">
        <v>33</v>
      </c>
    </row>
    <row r="161" spans="2:4" x14ac:dyDescent="0.2">
      <c r="B161" s="6" t="s">
        <v>44</v>
      </c>
      <c r="C161">
        <f>1/SQRT(1+((C157-C151)/D151)^2)</f>
        <v>0.99414454940920649</v>
      </c>
      <c r="D161">
        <f>((C157-C151)/D151)/SQRT(1+((C157-C151)/D151)^2)</f>
        <v>0.10805838643976635</v>
      </c>
    </row>
    <row r="162" spans="2:4" x14ac:dyDescent="0.2">
      <c r="B162" s="6" t="s">
        <v>45</v>
      </c>
      <c r="C162">
        <f>1/SQRT(1+((C158-C151)/D151)^2)</f>
        <v>0.10805838643976724</v>
      </c>
      <c r="D162">
        <f>((C158-C151)/D151)/SQRT(1+((C158-C151)/D151)^2)</f>
        <v>-0.99414454940920638</v>
      </c>
    </row>
    <row r="164" spans="2:4" x14ac:dyDescent="0.2">
      <c r="B164" s="6" t="s">
        <v>49</v>
      </c>
      <c r="C164">
        <f>ACOS((C161*C138)+(D161*D138))*(180/PI())</f>
        <v>83.796597878050505</v>
      </c>
      <c r="D164" t="s">
        <v>48</v>
      </c>
    </row>
    <row r="165" spans="2:4" x14ac:dyDescent="0.2">
      <c r="B165" s="6" t="s">
        <v>50</v>
      </c>
      <c r="C165">
        <f>IF((C161&lt;0),360-C164,C164)</f>
        <v>83.796597878050505</v>
      </c>
      <c r="D165" t="s">
        <v>48</v>
      </c>
    </row>
    <row r="166" spans="2:4" x14ac:dyDescent="0.2">
      <c r="B166" s="6" t="s">
        <v>51</v>
      </c>
      <c r="C166">
        <f>IF((C165&lt;180),(C165+180),(C165-180))</f>
        <v>263.79659787805053</v>
      </c>
      <c r="D166" t="s">
        <v>48</v>
      </c>
    </row>
    <row r="167" spans="2:4" x14ac:dyDescent="0.2">
      <c r="B167" s="6" t="s">
        <v>52</v>
      </c>
      <c r="C167">
        <f>ACOS((C162*C138)+(D162*D138))*(180/PI())</f>
        <v>173.79659787805053</v>
      </c>
      <c r="D167" t="s">
        <v>48</v>
      </c>
    </row>
    <row r="168" spans="2:4" x14ac:dyDescent="0.2">
      <c r="B168" s="6" t="s">
        <v>53</v>
      </c>
      <c r="C168">
        <f>IF((C162&lt;0),360-C167,C167)</f>
        <v>173.79659787805053</v>
      </c>
      <c r="D168" t="s">
        <v>48</v>
      </c>
    </row>
    <row r="169" spans="2:4" x14ac:dyDescent="0.2">
      <c r="B169" s="6" t="s">
        <v>54</v>
      </c>
      <c r="C169">
        <f>IF((C168&lt;180),(C168+180),(C168-180))</f>
        <v>353.79659787805053</v>
      </c>
      <c r="D169" t="s">
        <v>48</v>
      </c>
    </row>
    <row r="171" spans="2:4" x14ac:dyDescent="0.2">
      <c r="B171" s="1" t="s">
        <v>55</v>
      </c>
      <c r="C171">
        <f>2*SQRT(((C151-D152)/2)^2+(D151)^2)</f>
        <v>3.9335748503072476E-8</v>
      </c>
    </row>
    <row r="172" spans="2:4" x14ac:dyDescent="0.2">
      <c r="B172" s="1" t="s">
        <v>56</v>
      </c>
      <c r="C172">
        <f>C157+C158</f>
        <v>-9.4248211348957466E-9</v>
      </c>
    </row>
    <row r="173" spans="2:4" x14ac:dyDescent="0.2">
      <c r="B173" t="s">
        <v>57</v>
      </c>
      <c r="C173">
        <f>C172</f>
        <v>-9.4248211348957466E-9</v>
      </c>
    </row>
    <row r="174" spans="2:4" x14ac:dyDescent="0.2">
      <c r="B174" t="s">
        <v>58</v>
      </c>
      <c r="C174">
        <f>SQRT((C157^2)+(C158^2))</f>
        <v>2.8601821303212023E-8</v>
      </c>
    </row>
    <row r="175" spans="2:4" x14ac:dyDescent="0.2">
      <c r="B175" t="s">
        <v>59</v>
      </c>
      <c r="C175">
        <f>MDETERM(C151:D152)</f>
        <v>-3.6461846421804787E-16</v>
      </c>
    </row>
    <row r="177" spans="2:8" x14ac:dyDescent="0.2">
      <c r="B177" t="s">
        <v>131</v>
      </c>
      <c r="C177" s="2">
        <f>1/(F11^2)</f>
        <v>277.77777777777777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2:8" x14ac:dyDescent="0.2">
      <c r="C178" s="2">
        <v>0</v>
      </c>
      <c r="D178" s="2">
        <f>1/(H11^2)</f>
        <v>204.08163265306121</v>
      </c>
      <c r="E178" s="2">
        <v>0</v>
      </c>
      <c r="F178" s="2">
        <v>0</v>
      </c>
      <c r="G178" s="2">
        <v>0</v>
      </c>
      <c r="H178" s="2">
        <v>0</v>
      </c>
    </row>
    <row r="179" spans="2:8" x14ac:dyDescent="0.2">
      <c r="C179" s="2">
        <v>0</v>
      </c>
      <c r="D179" s="2">
        <v>0</v>
      </c>
      <c r="E179" s="2">
        <f>1/(F12^2)</f>
        <v>277.77777777777777</v>
      </c>
      <c r="F179" s="2">
        <v>0</v>
      </c>
      <c r="G179" s="2">
        <v>0</v>
      </c>
      <c r="H179" s="2">
        <v>0</v>
      </c>
    </row>
    <row r="180" spans="2:8" x14ac:dyDescent="0.2">
      <c r="C180" s="2">
        <v>0</v>
      </c>
      <c r="D180" s="2">
        <v>0</v>
      </c>
      <c r="E180" s="2">
        <v>0</v>
      </c>
      <c r="F180" s="2">
        <f>1/(H12^2)</f>
        <v>625</v>
      </c>
      <c r="G180" s="2">
        <v>0</v>
      </c>
      <c r="H180" s="2">
        <v>0</v>
      </c>
    </row>
    <row r="181" spans="2:8" x14ac:dyDescent="0.2">
      <c r="C181" s="2">
        <v>0</v>
      </c>
      <c r="D181" s="2">
        <v>0</v>
      </c>
      <c r="E181" s="2">
        <v>0</v>
      </c>
      <c r="F181" s="2">
        <v>0</v>
      </c>
      <c r="G181" s="2">
        <f>1/(F13^2)</f>
        <v>277.77777777777777</v>
      </c>
      <c r="H181" s="2">
        <v>0</v>
      </c>
    </row>
    <row r="182" spans="2:8" x14ac:dyDescent="0.2"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f>1/(H13^2)</f>
        <v>1111.1111111111111</v>
      </c>
    </row>
    <row r="184" spans="2:8" x14ac:dyDescent="0.2">
      <c r="B184" t="s">
        <v>60</v>
      </c>
      <c r="C184" s="2">
        <v>1</v>
      </c>
      <c r="D184" s="2">
        <v>0</v>
      </c>
      <c r="E184" s="2">
        <v>1</v>
      </c>
      <c r="F184" s="2">
        <v>0</v>
      </c>
      <c r="G184" s="2">
        <v>1</v>
      </c>
      <c r="H184" s="2">
        <v>0</v>
      </c>
    </row>
    <row r="185" spans="2:8" x14ac:dyDescent="0.2">
      <c r="C185" s="2">
        <v>0</v>
      </c>
      <c r="D185" s="2">
        <v>1</v>
      </c>
      <c r="E185" s="2">
        <v>0</v>
      </c>
      <c r="F185" s="2">
        <v>1</v>
      </c>
      <c r="G185" s="2">
        <v>0</v>
      </c>
      <c r="H185" s="2">
        <v>1</v>
      </c>
    </row>
    <row r="186" spans="2:8" x14ac:dyDescent="0.2">
      <c r="C186" s="2">
        <f>(-1)*D105</f>
        <v>8928.2914029657841</v>
      </c>
      <c r="D186" s="9">
        <f>C105</f>
        <v>-26627.130619292497</v>
      </c>
      <c r="E186" s="2">
        <f>(-1)*D106</f>
        <v>-21556.917965481058</v>
      </c>
      <c r="F186" s="9">
        <f>C106</f>
        <v>9693.8049054825678</v>
      </c>
      <c r="G186" s="2">
        <f>(-1)*D107</f>
        <v>12628.626562515274</v>
      </c>
      <c r="H186" s="9">
        <f>C107</f>
        <v>16933.325713810045</v>
      </c>
    </row>
    <row r="187" spans="2:8" x14ac:dyDescent="0.2">
      <c r="C187" s="9">
        <f>C105</f>
        <v>-26627.130619292497</v>
      </c>
      <c r="D187" s="2">
        <v>0</v>
      </c>
      <c r="E187" s="9">
        <f>C106</f>
        <v>9693.8049054825678</v>
      </c>
      <c r="F187" s="2">
        <v>0</v>
      </c>
      <c r="G187" s="9">
        <f>C107</f>
        <v>16933.325713810045</v>
      </c>
      <c r="H187" s="2">
        <v>0</v>
      </c>
    </row>
    <row r="188" spans="2:8" x14ac:dyDescent="0.2">
      <c r="C188" s="9">
        <f>D105</f>
        <v>-8928.2914029657841</v>
      </c>
      <c r="D188" s="9">
        <f>C105</f>
        <v>-26627.130619292497</v>
      </c>
      <c r="E188" s="9">
        <f>D106</f>
        <v>21556.917965481058</v>
      </c>
      <c r="F188" s="9">
        <f>C106</f>
        <v>9693.8049054825678</v>
      </c>
      <c r="G188" s="9">
        <f>D107</f>
        <v>-12628.626562515274</v>
      </c>
      <c r="H188" s="9">
        <f>C107</f>
        <v>16933.325713810045</v>
      </c>
    </row>
    <row r="189" spans="2:8" x14ac:dyDescent="0.2">
      <c r="C189" s="2">
        <v>0</v>
      </c>
      <c r="D189" s="9">
        <f>D105</f>
        <v>-8928.2914029657841</v>
      </c>
      <c r="E189" s="2">
        <v>0</v>
      </c>
      <c r="F189" s="9">
        <f>D106</f>
        <v>21556.917965481058</v>
      </c>
      <c r="G189" s="2">
        <v>0</v>
      </c>
      <c r="H189" s="9">
        <f>D107</f>
        <v>-12628.626562515274</v>
      </c>
    </row>
    <row r="191" spans="2:8" x14ac:dyDescent="0.2">
      <c r="B191" t="s">
        <v>61</v>
      </c>
      <c r="C191">
        <f t="array" ref="C191:H196">MMULT(C177:H182,C109:H114)</f>
        <v>277.77777777777777</v>
      </c>
      <c r="D191">
        <v>0</v>
      </c>
      <c r="E191">
        <v>2480080.9452682734</v>
      </c>
      <c r="F191">
        <v>-7396425.1720256936</v>
      </c>
      <c r="G191">
        <v>-2480080.9452682734</v>
      </c>
      <c r="H191">
        <v>0</v>
      </c>
    </row>
    <row r="192" spans="2:8" x14ac:dyDescent="0.2">
      <c r="C192">
        <v>0</v>
      </c>
      <c r="D192">
        <v>204.08163265306121</v>
      </c>
      <c r="E192">
        <v>-5434108.2896515299</v>
      </c>
      <c r="F192">
        <v>0</v>
      </c>
      <c r="G192">
        <v>-5434108.2896515299</v>
      </c>
      <c r="H192">
        <v>-1822100.2863195476</v>
      </c>
    </row>
    <row r="193" spans="2:8" x14ac:dyDescent="0.2">
      <c r="C193">
        <v>277.77777777777777</v>
      </c>
      <c r="D193">
        <v>0</v>
      </c>
      <c r="E193">
        <v>-5988032.7681891825</v>
      </c>
      <c r="F193">
        <v>2692723.5848562689</v>
      </c>
      <c r="G193">
        <v>5988032.7681891825</v>
      </c>
      <c r="H193">
        <v>0</v>
      </c>
    </row>
    <row r="194" spans="2:8" x14ac:dyDescent="0.2">
      <c r="C194">
        <v>0</v>
      </c>
      <c r="D194">
        <v>625</v>
      </c>
      <c r="E194">
        <v>6058628.0659266049</v>
      </c>
      <c r="F194">
        <v>0</v>
      </c>
      <c r="G194">
        <v>6058628.0659266049</v>
      </c>
      <c r="H194">
        <v>13473073.728425661</v>
      </c>
    </row>
    <row r="195" spans="2:8" x14ac:dyDescent="0.2">
      <c r="C195">
        <v>277.77777777777777</v>
      </c>
      <c r="D195">
        <v>0</v>
      </c>
      <c r="E195">
        <v>3507951.8229209092</v>
      </c>
      <c r="F195">
        <v>4703701.5871694572</v>
      </c>
      <c r="G195">
        <v>-3507951.8229209092</v>
      </c>
      <c r="H195">
        <v>0</v>
      </c>
    </row>
    <row r="196" spans="2:8" x14ac:dyDescent="0.2">
      <c r="C196">
        <v>0</v>
      </c>
      <c r="D196">
        <v>1111.1111111111111</v>
      </c>
      <c r="E196">
        <v>18814806.348677829</v>
      </c>
      <c r="F196">
        <v>0</v>
      </c>
      <c r="G196">
        <v>18814806.348677829</v>
      </c>
      <c r="H196">
        <v>-14031807.291683637</v>
      </c>
    </row>
    <row r="198" spans="2:8" x14ac:dyDescent="0.2">
      <c r="B198" t="s">
        <v>62</v>
      </c>
      <c r="C198">
        <f t="array" ref="C198:H203">MMULT(C184:H189,C191:H196)</f>
        <v>833.33333333333326</v>
      </c>
      <c r="D198">
        <v>0</v>
      </c>
      <c r="E198">
        <v>0</v>
      </c>
      <c r="F198">
        <v>3.2596290111541748E-8</v>
      </c>
      <c r="G198">
        <v>0</v>
      </c>
      <c r="H198">
        <v>0</v>
      </c>
    </row>
    <row r="199" spans="2:8" x14ac:dyDescent="0.2">
      <c r="C199">
        <v>0</v>
      </c>
      <c r="D199">
        <v>1940.1927437641723</v>
      </c>
      <c r="E199">
        <v>19439326.124952905</v>
      </c>
      <c r="F199">
        <v>0</v>
      </c>
      <c r="G199">
        <v>19439326.124952905</v>
      </c>
      <c r="H199">
        <v>-2380833.8495775238</v>
      </c>
    </row>
    <row r="200" spans="2:8" x14ac:dyDescent="0.2">
      <c r="C200">
        <v>0</v>
      </c>
      <c r="D200">
        <v>19439326.124952905</v>
      </c>
      <c r="E200">
        <v>717550143950.05542</v>
      </c>
      <c r="F200">
        <v>-64682969892.665924</v>
      </c>
      <c r="G200">
        <v>326496083726.6004</v>
      </c>
      <c r="H200">
        <v>-58482512697.671967</v>
      </c>
    </row>
    <row r="201" spans="2:8" x14ac:dyDescent="0.2">
      <c r="C201">
        <v>3.2596290111541748E-8</v>
      </c>
      <c r="D201">
        <v>0</v>
      </c>
      <c r="E201">
        <v>-64682969892.665916</v>
      </c>
      <c r="F201">
        <v>302697627303.44513</v>
      </c>
      <c r="G201">
        <v>64682969892.665916</v>
      </c>
      <c r="H201">
        <v>0</v>
      </c>
    </row>
    <row r="202" spans="2:8" x14ac:dyDescent="0.2">
      <c r="C202">
        <v>0</v>
      </c>
      <c r="D202">
        <v>19439326.124952905</v>
      </c>
      <c r="E202">
        <v>326496083726.6004</v>
      </c>
      <c r="F202">
        <v>64682969892.665924</v>
      </c>
      <c r="G202">
        <v>717550143950.05542</v>
      </c>
      <c r="H202">
        <v>-58482512697.671967</v>
      </c>
    </row>
    <row r="203" spans="2:8" x14ac:dyDescent="0.2">
      <c r="C203">
        <v>0</v>
      </c>
      <c r="D203">
        <v>-2380833.8495775238</v>
      </c>
      <c r="E203">
        <v>-58482512697.671997</v>
      </c>
      <c r="F203">
        <v>0</v>
      </c>
      <c r="G203">
        <v>-58482512697.671997</v>
      </c>
      <c r="H203">
        <v>483908641712.08972</v>
      </c>
    </row>
    <row r="205" spans="2:8" x14ac:dyDescent="0.2">
      <c r="B205" t="s">
        <v>63</v>
      </c>
      <c r="C205">
        <f t="array" ref="C205:H210">MINVERSE(C198:H203)</f>
        <v>1.2000000000000001E-3</v>
      </c>
      <c r="D205">
        <v>0</v>
      </c>
      <c r="E205">
        <v>-2.3000295204936284E-23</v>
      </c>
      <c r="F205">
        <v>-1.3905296620043144E-22</v>
      </c>
      <c r="G205">
        <v>2.3000295204936284E-23</v>
      </c>
      <c r="H205">
        <v>0</v>
      </c>
    </row>
    <row r="206" spans="2:8" x14ac:dyDescent="0.2">
      <c r="C206">
        <v>1.6580344235502584E-34</v>
      </c>
      <c r="D206">
        <v>8.2222222222222451E-4</v>
      </c>
      <c r="E206">
        <v>-1.5289546598802263E-8</v>
      </c>
      <c r="F206">
        <v>-5.704092332435558E-24</v>
      </c>
      <c r="G206">
        <v>-1.5289546598802234E-8</v>
      </c>
      <c r="H206">
        <v>3.4971950848158565E-10</v>
      </c>
    </row>
    <row r="207" spans="2:8" x14ac:dyDescent="0.2">
      <c r="C207">
        <v>-2.300029520493629E-23</v>
      </c>
      <c r="D207">
        <v>-1.5289546598802267E-8</v>
      </c>
      <c r="E207">
        <v>2.1456504789406401E-12</v>
      </c>
      <c r="F207">
        <v>5.8800902204492248E-13</v>
      </c>
      <c r="G207">
        <v>-6.0606200583502381E-13</v>
      </c>
      <c r="H207">
        <v>1.1084144344001114E-13</v>
      </c>
    </row>
    <row r="208" spans="2:8" x14ac:dyDescent="0.2">
      <c r="C208">
        <v>-1.3905296620043144E-22</v>
      </c>
      <c r="D208">
        <v>0</v>
      </c>
      <c r="E208">
        <v>5.8800902204492228E-13</v>
      </c>
      <c r="F208">
        <v>3.5549282276347995E-12</v>
      </c>
      <c r="G208">
        <v>-5.8800902204492228E-13</v>
      </c>
      <c r="H208">
        <v>0</v>
      </c>
    </row>
    <row r="209" spans="2:8" x14ac:dyDescent="0.2">
      <c r="C209">
        <v>2.3000295204936284E-23</v>
      </c>
      <c r="D209">
        <v>-1.5289546598802267E-8</v>
      </c>
      <c r="E209">
        <v>-6.0606200583502321E-13</v>
      </c>
      <c r="F209">
        <v>-5.8800902204492228E-13</v>
      </c>
      <c r="G209">
        <v>2.1456504789406397E-12</v>
      </c>
      <c r="H209">
        <v>1.1084144344001114E-13</v>
      </c>
    </row>
    <row r="210" spans="2:8" x14ac:dyDescent="0.2">
      <c r="C210">
        <v>-1.3794002401693502E-40</v>
      </c>
      <c r="D210">
        <v>3.4971950848112811E-10</v>
      </c>
      <c r="E210">
        <v>1.1084144344001973E-13</v>
      </c>
      <c r="F210">
        <v>2.3697915678487618E-30</v>
      </c>
      <c r="G210">
        <v>1.1084144344001972E-13</v>
      </c>
      <c r="H210">
        <v>2.095017755218443E-12</v>
      </c>
    </row>
    <row r="213" spans="2:8" x14ac:dyDescent="0.2">
      <c r="B213" t="s">
        <v>122</v>
      </c>
      <c r="C213" t="s">
        <v>125</v>
      </c>
      <c r="D213" t="s">
        <v>126</v>
      </c>
      <c r="E213" t="s">
        <v>123</v>
      </c>
      <c r="F213" t="s">
        <v>124</v>
      </c>
      <c r="G213" t="s">
        <v>127</v>
      </c>
      <c r="H213" t="s">
        <v>128</v>
      </c>
    </row>
    <row r="214" spans="2:8" x14ac:dyDescent="0.2">
      <c r="B214">
        <v>0</v>
      </c>
      <c r="C214">
        <f>COS(B214)</f>
        <v>1</v>
      </c>
      <c r="D214">
        <f>SIN(B214)</f>
        <v>0</v>
      </c>
      <c r="E214" s="60">
        <f t="shared" ref="E214:E234" si="2">(1+$C$157*(10^6))*COS(B214)</f>
        <v>1.0149554636840883</v>
      </c>
      <c r="F214" s="60">
        <f t="shared" ref="F214:F234" si="3">(1+$C$158*(10^6))*SIN(B214)</f>
        <v>0</v>
      </c>
      <c r="G214">
        <f>E214*$C$161-F214*$D$161</f>
        <v>1.0090124421146303</v>
      </c>
      <c r="H214">
        <f>E214*$D$161+F214*$C$161</f>
        <v>0.10967444971392745</v>
      </c>
    </row>
    <row r="215" spans="2:8" x14ac:dyDescent="0.2">
      <c r="B215">
        <f>B214+2*PI()/20</f>
        <v>0.31415926535897931</v>
      </c>
      <c r="C215">
        <f t="shared" ref="C215:C234" si="4">COS(B215)</f>
        <v>0.95105651629515353</v>
      </c>
      <c r="D215">
        <f t="shared" ref="D215:D234" si="5">SIN(B215)</f>
        <v>0.3090169943749474</v>
      </c>
      <c r="E215" s="60">
        <f t="shared" si="2"/>
        <v>0.96528000748612119</v>
      </c>
      <c r="F215" s="60">
        <f t="shared" si="3"/>
        <v>0.30148307203817976</v>
      </c>
      <c r="G215">
        <f t="shared" ref="G215:G234" si="6">E215*$C$161-F215*$D$161</f>
        <v>0.92705008379265585</v>
      </c>
      <c r="H215">
        <f t="shared" ref="H215:H234" si="7">E215*$D$161+F215*$C$161</f>
        <v>0.40402435287741545</v>
      </c>
    </row>
    <row r="216" spans="2:8" x14ac:dyDescent="0.2">
      <c r="B216">
        <f t="shared" ref="B216:B234" si="8">B215+2*PI()/20</f>
        <v>0.62831853071795862</v>
      </c>
      <c r="C216">
        <f t="shared" si="4"/>
        <v>0.80901699437494745</v>
      </c>
      <c r="D216">
        <f t="shared" si="5"/>
        <v>0.58778525229247314</v>
      </c>
      <c r="E216" s="60">
        <f t="shared" si="2"/>
        <v>0.8211162186541322</v>
      </c>
      <c r="F216" s="60">
        <f t="shared" si="3"/>
        <v>0.57345488042918424</v>
      </c>
      <c r="G216">
        <f t="shared" si="6"/>
        <v>0.7543416041313169</v>
      </c>
      <c r="H216">
        <f t="shared" si="7"/>
        <v>0.65882553737806959</v>
      </c>
    </row>
    <row r="217" spans="2:8" x14ac:dyDescent="0.2">
      <c r="B217">
        <f t="shared" si="8"/>
        <v>0.94247779607693793</v>
      </c>
      <c r="C217">
        <f t="shared" si="4"/>
        <v>0.58778525229247314</v>
      </c>
      <c r="D217">
        <f t="shared" si="5"/>
        <v>0.80901699437494745</v>
      </c>
      <c r="E217" s="60">
        <f t="shared" si="2"/>
        <v>0.59657585328717588</v>
      </c>
      <c r="F217" s="60">
        <f t="shared" si="3"/>
        <v>0.7892929296286878</v>
      </c>
      <c r="G217">
        <f t="shared" si="6"/>
        <v>0.50779291245060032</v>
      </c>
      <c r="H217">
        <f t="shared" si="7"/>
        <v>0.84913628797272334</v>
      </c>
    </row>
    <row r="218" spans="2:8" x14ac:dyDescent="0.2">
      <c r="B218">
        <f t="shared" si="8"/>
        <v>1.2566370614359172</v>
      </c>
      <c r="C218">
        <f t="shared" si="4"/>
        <v>0.30901699437494745</v>
      </c>
      <c r="D218">
        <f t="shared" si="5"/>
        <v>0.95105651629515353</v>
      </c>
      <c r="E218" s="60">
        <f t="shared" si="2"/>
        <v>0.31363848681208811</v>
      </c>
      <c r="F218" s="60">
        <f t="shared" si="3"/>
        <v>0.92786948754892684</v>
      </c>
      <c r="G218">
        <f t="shared" si="6"/>
        <v>0.21153791249795878</v>
      </c>
      <c r="H218">
        <f t="shared" si="7"/>
        <v>0.95632766242020339</v>
      </c>
    </row>
    <row r="219" spans="2:8" x14ac:dyDescent="0.2">
      <c r="B219">
        <f t="shared" si="8"/>
        <v>1.5707963267948966</v>
      </c>
      <c r="C219">
        <f t="shared" si="4"/>
        <v>6.1257422745431001E-17</v>
      </c>
      <c r="D219">
        <f t="shared" si="5"/>
        <v>1</v>
      </c>
      <c r="E219" s="60">
        <f t="shared" si="2"/>
        <v>6.2173555906681135E-17</v>
      </c>
      <c r="F219" s="60">
        <f t="shared" si="3"/>
        <v>0.97561971518101587</v>
      </c>
      <c r="G219">
        <f t="shared" si="6"/>
        <v>-0.10542389220128494</v>
      </c>
      <c r="H219">
        <f t="shared" si="7"/>
        <v>0.96990702214336943</v>
      </c>
    </row>
    <row r="220" spans="2:8" x14ac:dyDescent="0.2">
      <c r="B220">
        <f t="shared" si="8"/>
        <v>1.8849555921538759</v>
      </c>
      <c r="C220">
        <f t="shared" si="4"/>
        <v>-0.30901699437494734</v>
      </c>
      <c r="D220">
        <f t="shared" si="5"/>
        <v>0.95105651629515364</v>
      </c>
      <c r="E220" s="60">
        <f t="shared" si="2"/>
        <v>-0.313638486812088</v>
      </c>
      <c r="F220" s="60">
        <f t="shared" si="3"/>
        <v>0.92786948754892695</v>
      </c>
      <c r="G220">
        <f t="shared" si="6"/>
        <v>-0.41206607180041849</v>
      </c>
      <c r="H220">
        <f t="shared" si="7"/>
        <v>0.88854512479955505</v>
      </c>
    </row>
    <row r="221" spans="2:8" x14ac:dyDescent="0.2">
      <c r="B221">
        <f t="shared" si="8"/>
        <v>2.1991148575128552</v>
      </c>
      <c r="C221">
        <f t="shared" si="4"/>
        <v>-0.58778525229247303</v>
      </c>
      <c r="D221">
        <f t="shared" si="5"/>
        <v>0.80901699437494745</v>
      </c>
      <c r="E221" s="60">
        <f t="shared" si="2"/>
        <v>-0.59657585328717577</v>
      </c>
      <c r="F221" s="60">
        <f t="shared" si="3"/>
        <v>0.7892929296286878</v>
      </c>
      <c r="G221">
        <f t="shared" si="6"/>
        <v>-0.67837235325858436</v>
      </c>
      <c r="H221">
        <f t="shared" si="7"/>
        <v>0.72020623978244536</v>
      </c>
    </row>
    <row r="222" spans="2:8" x14ac:dyDescent="0.2">
      <c r="B222">
        <f t="shared" si="8"/>
        <v>2.5132741228718345</v>
      </c>
      <c r="C222">
        <f t="shared" si="4"/>
        <v>-0.80901699437494734</v>
      </c>
      <c r="D222">
        <f t="shared" si="5"/>
        <v>0.58778525229247325</v>
      </c>
      <c r="E222" s="60">
        <f t="shared" si="2"/>
        <v>-0.82111621865413209</v>
      </c>
      <c r="F222" s="60">
        <f t="shared" si="3"/>
        <v>0.57345488042918435</v>
      </c>
      <c r="G222">
        <f t="shared" si="6"/>
        <v>-0.8782748222816904</v>
      </c>
      <c r="H222">
        <f t="shared" si="7"/>
        <v>0.48136855004349394</v>
      </c>
    </row>
    <row r="223" spans="2:8" x14ac:dyDescent="0.2">
      <c r="B223">
        <f t="shared" si="8"/>
        <v>2.8274333882308138</v>
      </c>
      <c r="C223">
        <f t="shared" si="4"/>
        <v>-0.95105651629515353</v>
      </c>
      <c r="D223">
        <f t="shared" si="5"/>
        <v>0.30901699437494751</v>
      </c>
      <c r="E223" s="60">
        <f t="shared" si="2"/>
        <v>-0.96528000748612119</v>
      </c>
      <c r="F223" s="60">
        <f t="shared" si="3"/>
        <v>0.30148307203817987</v>
      </c>
      <c r="G223">
        <f t="shared" si="6"/>
        <v>-0.99220563239935489</v>
      </c>
      <c r="H223">
        <f t="shared" si="7"/>
        <v>0.19541115273438384</v>
      </c>
    </row>
    <row r="224" spans="2:8" x14ac:dyDescent="0.2">
      <c r="B224">
        <f t="shared" si="8"/>
        <v>3.1415926535897931</v>
      </c>
      <c r="C224">
        <f t="shared" si="4"/>
        <v>-1</v>
      </c>
      <c r="D224">
        <f t="shared" si="5"/>
        <v>1.22514845490862E-16</v>
      </c>
      <c r="E224" s="60">
        <f t="shared" si="2"/>
        <v>-1.0149554636840883</v>
      </c>
      <c r="F224" s="60">
        <f t="shared" si="3"/>
        <v>1.1952789866324095E-16</v>
      </c>
      <c r="G224">
        <f t="shared" si="6"/>
        <v>-1.0090124421146303</v>
      </c>
      <c r="H224">
        <f t="shared" si="7"/>
        <v>-0.10967444971392733</v>
      </c>
    </row>
    <row r="225" spans="2:8" x14ac:dyDescent="0.2">
      <c r="B225">
        <f t="shared" si="8"/>
        <v>3.4557519189487724</v>
      </c>
      <c r="C225">
        <f t="shared" si="4"/>
        <v>-0.95105651629515364</v>
      </c>
      <c r="D225">
        <f t="shared" si="5"/>
        <v>-0.30901699437494728</v>
      </c>
      <c r="E225" s="60">
        <f t="shared" si="2"/>
        <v>-0.96528000748612131</v>
      </c>
      <c r="F225" s="60">
        <f t="shared" si="3"/>
        <v>-0.30148307203817964</v>
      </c>
      <c r="G225">
        <f t="shared" si="6"/>
        <v>-0.92705008379265597</v>
      </c>
      <c r="H225">
        <f t="shared" si="7"/>
        <v>-0.40402435287741534</v>
      </c>
    </row>
    <row r="226" spans="2:8" x14ac:dyDescent="0.2">
      <c r="B226">
        <f t="shared" si="8"/>
        <v>3.7699111843077517</v>
      </c>
      <c r="C226">
        <f t="shared" si="4"/>
        <v>-0.80901699437494756</v>
      </c>
      <c r="D226">
        <f t="shared" si="5"/>
        <v>-0.58778525229247303</v>
      </c>
      <c r="E226" s="60">
        <f t="shared" si="2"/>
        <v>-0.82111621865413231</v>
      </c>
      <c r="F226" s="60">
        <f t="shared" si="3"/>
        <v>-0.57345488042918413</v>
      </c>
      <c r="G226">
        <f t="shared" si="6"/>
        <v>-0.75434160413131701</v>
      </c>
      <c r="H226">
        <f t="shared" si="7"/>
        <v>-0.65882553737806959</v>
      </c>
    </row>
    <row r="227" spans="2:8" x14ac:dyDescent="0.2">
      <c r="B227">
        <f t="shared" si="8"/>
        <v>4.0840704496667311</v>
      </c>
      <c r="C227">
        <f t="shared" si="4"/>
        <v>-0.58778525229247325</v>
      </c>
      <c r="D227">
        <f t="shared" si="5"/>
        <v>-0.80901699437494734</v>
      </c>
      <c r="E227" s="60">
        <f t="shared" si="2"/>
        <v>-0.59657585328717599</v>
      </c>
      <c r="F227" s="60">
        <f t="shared" si="3"/>
        <v>-0.78929292962868769</v>
      </c>
      <c r="G227">
        <f t="shared" si="6"/>
        <v>-0.50779291245060043</v>
      </c>
      <c r="H227">
        <f t="shared" si="7"/>
        <v>-0.84913628797272322</v>
      </c>
    </row>
    <row r="228" spans="2:8" x14ac:dyDescent="0.2">
      <c r="B228">
        <f t="shared" si="8"/>
        <v>4.3982297150257104</v>
      </c>
      <c r="C228">
        <f t="shared" si="4"/>
        <v>-0.30901699437494756</v>
      </c>
      <c r="D228">
        <f t="shared" si="5"/>
        <v>-0.95105651629515353</v>
      </c>
      <c r="E228" s="60">
        <f t="shared" si="2"/>
        <v>-0.31363848681208822</v>
      </c>
      <c r="F228" s="60">
        <f t="shared" si="3"/>
        <v>-0.92786948754892684</v>
      </c>
      <c r="G228">
        <f t="shared" si="6"/>
        <v>-0.21153791249795889</v>
      </c>
      <c r="H228">
        <f t="shared" si="7"/>
        <v>-0.95632766242020339</v>
      </c>
    </row>
    <row r="229" spans="2:8" x14ac:dyDescent="0.2">
      <c r="B229">
        <f t="shared" si="8"/>
        <v>4.7123889803846897</v>
      </c>
      <c r="C229">
        <f t="shared" si="4"/>
        <v>-1.83772268236293E-16</v>
      </c>
      <c r="D229">
        <f t="shared" si="5"/>
        <v>-1</v>
      </c>
      <c r="E229" s="60">
        <f t="shared" si="2"/>
        <v>-1.8652066772004341E-16</v>
      </c>
      <c r="F229" s="60">
        <f t="shared" si="3"/>
        <v>-0.97561971518101587</v>
      </c>
      <c r="G229">
        <f t="shared" si="6"/>
        <v>0.10542389220128481</v>
      </c>
      <c r="H229">
        <f t="shared" si="7"/>
        <v>-0.96990702214336943</v>
      </c>
    </row>
    <row r="230" spans="2:8" x14ac:dyDescent="0.2">
      <c r="B230">
        <f t="shared" si="8"/>
        <v>5.026548245743669</v>
      </c>
      <c r="C230">
        <f t="shared" si="4"/>
        <v>0.30901699437494723</v>
      </c>
      <c r="D230">
        <f t="shared" si="5"/>
        <v>-0.95105651629515364</v>
      </c>
      <c r="E230" s="60">
        <f t="shared" si="2"/>
        <v>0.31363848681208789</v>
      </c>
      <c r="F230" s="60">
        <f t="shared" si="3"/>
        <v>-0.92786948754892695</v>
      </c>
      <c r="G230">
        <f t="shared" si="6"/>
        <v>0.41206607180041838</v>
      </c>
      <c r="H230">
        <f t="shared" si="7"/>
        <v>-0.88854512479955516</v>
      </c>
    </row>
    <row r="231" spans="2:8" x14ac:dyDescent="0.2">
      <c r="B231">
        <f t="shared" si="8"/>
        <v>5.3407075111026483</v>
      </c>
      <c r="C231">
        <f t="shared" si="4"/>
        <v>0.58778525229247292</v>
      </c>
      <c r="D231">
        <f t="shared" si="5"/>
        <v>-0.80901699437494756</v>
      </c>
      <c r="E231" s="60">
        <f t="shared" si="2"/>
        <v>0.59657585328717566</v>
      </c>
      <c r="F231" s="60">
        <f t="shared" si="3"/>
        <v>-0.78929292962868791</v>
      </c>
      <c r="G231">
        <f t="shared" si="6"/>
        <v>0.67837235325858425</v>
      </c>
      <c r="H231">
        <f t="shared" si="7"/>
        <v>-0.72020623978244547</v>
      </c>
    </row>
    <row r="232" spans="2:8" x14ac:dyDescent="0.2">
      <c r="B232">
        <f t="shared" si="8"/>
        <v>5.6548667764616276</v>
      </c>
      <c r="C232">
        <f t="shared" si="4"/>
        <v>0.80901699437494734</v>
      </c>
      <c r="D232">
        <f t="shared" si="5"/>
        <v>-0.58778525229247336</v>
      </c>
      <c r="E232" s="60">
        <f t="shared" si="2"/>
        <v>0.82111621865413209</v>
      </c>
      <c r="F232" s="60">
        <f t="shared" si="3"/>
        <v>-0.57345488042918447</v>
      </c>
      <c r="G232">
        <f t="shared" si="6"/>
        <v>0.8782748222816904</v>
      </c>
      <c r="H232">
        <f t="shared" si="7"/>
        <v>-0.48136855004349405</v>
      </c>
    </row>
    <row r="233" spans="2:8" x14ac:dyDescent="0.2">
      <c r="B233">
        <f t="shared" si="8"/>
        <v>5.9690260418206069</v>
      </c>
      <c r="C233">
        <f t="shared" si="4"/>
        <v>0.95105651629515353</v>
      </c>
      <c r="D233">
        <f t="shared" si="5"/>
        <v>-0.30901699437494762</v>
      </c>
      <c r="E233" s="60">
        <f t="shared" si="2"/>
        <v>0.96528000748612119</v>
      </c>
      <c r="F233" s="60">
        <f t="shared" si="3"/>
        <v>-0.30148307203817998</v>
      </c>
      <c r="G233">
        <f t="shared" si="6"/>
        <v>0.99220563239935489</v>
      </c>
      <c r="H233">
        <f t="shared" si="7"/>
        <v>-0.19541115273438395</v>
      </c>
    </row>
    <row r="234" spans="2:8" x14ac:dyDescent="0.2">
      <c r="B234">
        <f t="shared" si="8"/>
        <v>6.2831853071795862</v>
      </c>
      <c r="C234">
        <f t="shared" si="4"/>
        <v>1</v>
      </c>
      <c r="D234">
        <f t="shared" si="5"/>
        <v>-2.45029690981724E-16</v>
      </c>
      <c r="E234" s="60">
        <f t="shared" si="2"/>
        <v>1.0149554636840883</v>
      </c>
      <c r="F234" s="60">
        <f t="shared" si="3"/>
        <v>-2.3905579732648191E-16</v>
      </c>
      <c r="G234">
        <f t="shared" si="6"/>
        <v>1.0090124421146303</v>
      </c>
      <c r="H234">
        <f t="shared" si="7"/>
        <v>0.10967444971392722</v>
      </c>
    </row>
  </sheetData>
  <sheetProtection algorithmName="SHA-512" hashValue="16gQGJWZPUDMp24n+t368i6j4fQyb4M5nUVVuNFNV8OxNP7TCB//xdNxcavxbQyajT54KHTAkgXzdGheiEFKGw==" saltValue="hpCFSgLghH3gdsR9na8h4A==" spinCount="100000" sheet="1" objects="1" scenarios="1"/>
  <printOptions horizontalCentered="1" headings="1" gridLines="1"/>
  <pageMargins left="0.75" right="0.75" top="1" bottom="1" header="0.5" footer="0.5"/>
  <pageSetup scale="70" fitToHeight="9" orientation="landscape" horizontalDpi="4294967292" verticalDpi="4294967292"/>
  <headerFoot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Baylor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 Cronin</dc:creator>
  <cp:lastModifiedBy>Vince Cronin</cp:lastModifiedBy>
  <cp:lastPrinted>2021-12-21T16:34:03Z</cp:lastPrinted>
  <dcterms:created xsi:type="dcterms:W3CDTF">2012-09-10T19:20:49Z</dcterms:created>
  <dcterms:modified xsi:type="dcterms:W3CDTF">2022-08-21T18:37:57Z</dcterms:modified>
</cp:coreProperties>
</file>